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4000" windowHeight="9735" tabRatio="873" firstSheet="41" activeTab="43"/>
  </bookViews>
  <sheets>
    <sheet name="Instructions" sheetId="71" r:id="rId1"/>
    <sheet name="inputPrYr" sheetId="2" r:id="rId2"/>
    <sheet name="inputOth" sheetId="43" r:id="rId3"/>
    <sheet name="inputHearing" sheetId="70" r:id="rId4"/>
    <sheet name="CPA Summary" sheetId="64" r:id="rId5"/>
    <sheet name="Cert" sheetId="3" r:id="rId6"/>
    <sheet name="Cert 2" sheetId="4" r:id="rId7"/>
    <sheet name="Mvalloc" sheetId="38" r:id="rId8"/>
    <sheet name="Transfers" sheetId="6" r:id="rId9"/>
    <sheet name="Transfer Statutes" sheetId="50" r:id="rId10"/>
    <sheet name="Debt" sheetId="29" r:id="rId11"/>
    <sheet name="LP Form" sheetId="30" r:id="rId12"/>
    <sheet name="General" sheetId="8" r:id="rId13"/>
    <sheet name="General Detail" sheetId="9" r:id="rId14"/>
    <sheet name="Debt Service" sheetId="42" r:id="rId15"/>
    <sheet name="Road &amp; Bridge" sheetId="44" r:id="rId16"/>
    <sheet name="Road &amp; Bridge Detail" sheetId="11" r:id="rId17"/>
    <sheet name="FairCon" sheetId="10" r:id="rId18"/>
    <sheet name="ApprNW" sheetId="12" r:id="rId19"/>
    <sheet name="NWCEle" sheetId="13" r:id="rId20"/>
    <sheet name="Ext Eld" sheetId="14" r:id="rId21"/>
    <sheet name="ED HD" sheetId="15" r:id="rId22"/>
    <sheet name="Mental Health" sheetId="16" r:id="rId23"/>
    <sheet name="Emp Ben" sheetId="17" r:id="rId24"/>
    <sheet name="CPI Div" sheetId="18" r:id="rId25"/>
    <sheet name="SW Kit" sheetId="19" r:id="rId26"/>
    <sheet name="Title" sheetId="20" r:id="rId27"/>
    <sheet name=" ST Fema" sheetId="21" r:id="rId28"/>
    <sheet name="911 ER" sheetId="22" r:id="rId29"/>
    <sheet name="CARES" sheetId="23" r:id="rId30"/>
    <sheet name="No Levy Page 23" sheetId="24" r:id="rId31"/>
    <sheet name="No Levy Page 24" sheetId="25" r:id="rId32"/>
    <sheet name="No Lvey Pg 25" sheetId="26" r:id="rId33"/>
    <sheet name="No Lvey Pg 26" sheetId="36" r:id="rId34"/>
    <sheet name="No Levy Page 27" sheetId="35" r:id="rId35"/>
    <sheet name="No Levy Page 28" sheetId="37" r:id="rId36"/>
    <sheet name="Non-Budgeted Funds A" sheetId="45" r:id="rId37"/>
    <sheet name="Non-Budgeted Funds B" sheetId="46" r:id="rId38"/>
    <sheet name="Non-Budgeted Funds C" sheetId="47" r:id="rId39"/>
    <sheet name="Non-Budgeted Funds D" sheetId="48" r:id="rId40"/>
    <sheet name="Non-Bud Fund Statutes" sheetId="56" r:id="rId41"/>
    <sheet name="Budget Hearing Notice" sheetId="27" r:id="rId42"/>
    <sheet name="Budget Hearing Notice 2" sheetId="28" r:id="rId43"/>
    <sheet name="Combined Rate-Bud Hearing Notic" sheetId="73" r:id="rId44"/>
    <sheet name="Combined Rate-Bud Hearing Not 2" sheetId="74" r:id="rId45"/>
    <sheet name="RNR Hearing Notice" sheetId="72" r:id="rId46"/>
    <sheet name="NR Rebate" sheetId="49" r:id="rId47"/>
    <sheet name="SAMPLE Notice to County Clerk" sheetId="67" r:id="rId48"/>
    <sheet name="SAMPLE Roll Call to Exceed RNR" sheetId="75" r:id="rId49"/>
    <sheet name="SAMPLE Resolution to Exceed RNR" sheetId="68" r:id="rId50"/>
    <sheet name="Tab A" sheetId="76" r:id="rId51"/>
    <sheet name="Tab B" sheetId="77" r:id="rId52"/>
    <sheet name="Tab C" sheetId="78" r:id="rId53"/>
    <sheet name="Tab D" sheetId="79" r:id="rId54"/>
    <sheet name="Tab E" sheetId="80" r:id="rId55"/>
    <sheet name="Budget Tools" sheetId="81" r:id="rId56"/>
    <sheet name="Legend" sheetId="82" r:id="rId57"/>
  </sheets>
  <externalReferences>
    <externalReference r:id="rId58"/>
  </externalReferences>
  <definedNames>
    <definedName name="_xlnm.Print_Area" localSheetId="27">' ST Fema'!$A$1:$E$90</definedName>
    <definedName name="_xlnm.Print_Area" localSheetId="18">ApprNW!$A$1:$E$90</definedName>
    <definedName name="_xlnm.Print_Area" localSheetId="41">'Budget Hearing Notice'!$A$1:$H$81</definedName>
    <definedName name="_xlnm.Print_Area" localSheetId="43">'Combined Rate-Bud Hearing Notic'!$A$1:$H$85</definedName>
    <definedName name="_xlnm.Print_Area" localSheetId="4">'CPA Summary'!$A$1:$A$46</definedName>
    <definedName name="_xlnm.Print_Area" localSheetId="24">'CPI Div'!$A$1:$E$90</definedName>
    <definedName name="_xlnm.Print_Area" localSheetId="14">'Debt Service'!$B$1:$E$65</definedName>
    <definedName name="_xlnm.Print_Area" localSheetId="21">'ED HD'!$A$1:$E$90</definedName>
    <definedName name="_xlnm.Print_Area" localSheetId="23">'Emp Ben'!$A$1:$E$91</definedName>
    <definedName name="_xlnm.Print_Area" localSheetId="20">'Ext Eld'!$A$1:$E$89</definedName>
    <definedName name="_xlnm.Print_Area" localSheetId="17">FairCon!$A$1:$E$90</definedName>
    <definedName name="_xlnm.Print_Area" localSheetId="1">inputPrYr!$A$1:$F$118</definedName>
    <definedName name="_xlnm.Print_Area" localSheetId="22">'Mental Health'!$A$1:$E$90</definedName>
    <definedName name="_xlnm.Print_Area" localSheetId="19">NWCEle!$A$1:$E$90</definedName>
    <definedName name="_xlnm.Print_Area" localSheetId="45">'RNR Hearing Notice'!$A$1:$H$14</definedName>
    <definedName name="_xlnm.Print_Area" localSheetId="15">'Road &amp; Bridge'!$B$1:$E$67</definedName>
    <definedName name="_xlnm.Print_Area" localSheetId="25">'SW Kit'!$A$1:$E$90</definedName>
    <definedName name="_xlnm.Print_Area" localSheetId="26">Title!$A$1:$E$90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8" i="73" l="1"/>
  <c r="E65" i="73"/>
  <c r="E61" i="27" l="1"/>
  <c r="E54" i="44" l="1"/>
  <c r="D54" i="44"/>
  <c r="C45" i="3"/>
  <c r="D52" i="2"/>
  <c r="E34" i="2"/>
  <c r="C54" i="44" l="1"/>
  <c r="A7" i="80" l="1"/>
  <c r="A6" i="80"/>
  <c r="A35" i="79"/>
  <c r="A31" i="79"/>
  <c r="A5" i="79"/>
  <c r="A30" i="78"/>
  <c r="A26" i="78"/>
  <c r="A15" i="78"/>
  <c r="A7" i="78"/>
  <c r="A6" i="78"/>
  <c r="A29" i="77"/>
  <c r="A28" i="77"/>
  <c r="A5" i="77"/>
  <c r="A59" i="76"/>
  <c r="A58" i="76"/>
  <c r="A56" i="76"/>
  <c r="A27" i="76"/>
  <c r="A23" i="76"/>
  <c r="A20" i="76"/>
  <c r="A14" i="76"/>
  <c r="A6" i="76"/>
  <c r="A5" i="76"/>
  <c r="A42" i="28" l="1"/>
  <c r="A41" i="28"/>
  <c r="F65" i="3" l="1"/>
  <c r="A8" i="73"/>
  <c r="A6" i="73"/>
  <c r="K13" i="74"/>
  <c r="K15" i="74"/>
  <c r="K16" i="74"/>
  <c r="K21" i="74"/>
  <c r="K23" i="74"/>
  <c r="K24" i="74"/>
  <c r="K29" i="74"/>
  <c r="K31" i="74"/>
  <c r="K32" i="74"/>
  <c r="H9" i="74"/>
  <c r="K9" i="74" s="1"/>
  <c r="H10" i="74"/>
  <c r="K10" i="74" s="1"/>
  <c r="H11" i="74"/>
  <c r="K11" i="74" s="1"/>
  <c r="H12" i="74"/>
  <c r="K12" i="74" s="1"/>
  <c r="H13" i="74"/>
  <c r="H14" i="74"/>
  <c r="K14" i="74" s="1"/>
  <c r="H15" i="74"/>
  <c r="H16" i="74"/>
  <c r="H17" i="74"/>
  <c r="K17" i="74" s="1"/>
  <c r="H18" i="74"/>
  <c r="K18" i="74" s="1"/>
  <c r="H19" i="74"/>
  <c r="K19" i="74" s="1"/>
  <c r="H20" i="74"/>
  <c r="K20" i="74" s="1"/>
  <c r="H21" i="74"/>
  <c r="H22" i="74"/>
  <c r="K22" i="74" s="1"/>
  <c r="H23" i="74"/>
  <c r="H24" i="74"/>
  <c r="H25" i="74"/>
  <c r="K25" i="74" s="1"/>
  <c r="H26" i="74"/>
  <c r="K26" i="74" s="1"/>
  <c r="H27" i="74"/>
  <c r="K27" i="74" s="1"/>
  <c r="H28" i="74"/>
  <c r="K28" i="74" s="1"/>
  <c r="H29" i="74"/>
  <c r="H30" i="74"/>
  <c r="K30" i="74" s="1"/>
  <c r="H31" i="74"/>
  <c r="H32" i="74"/>
  <c r="H33" i="74"/>
  <c r="K33" i="74" s="1"/>
  <c r="H34" i="74"/>
  <c r="K34" i="74" s="1"/>
  <c r="H35" i="74"/>
  <c r="K35" i="74" s="1"/>
  <c r="H36" i="74"/>
  <c r="K36" i="74" s="1"/>
  <c r="H8" i="74"/>
  <c r="K8" i="74" s="1"/>
  <c r="K16" i="28"/>
  <c r="K18" i="28"/>
  <c r="K23" i="28"/>
  <c r="K32" i="28"/>
  <c r="K34" i="28"/>
  <c r="H9" i="28"/>
  <c r="K9" i="28" s="1"/>
  <c r="H10" i="28"/>
  <c r="K10" i="28" s="1"/>
  <c r="H11" i="28"/>
  <c r="K11" i="28" s="1"/>
  <c r="H12" i="28"/>
  <c r="K12" i="28" s="1"/>
  <c r="H13" i="28"/>
  <c r="K13" i="28" s="1"/>
  <c r="H14" i="28"/>
  <c r="K14" i="28" s="1"/>
  <c r="H15" i="28"/>
  <c r="K15" i="28" s="1"/>
  <c r="H16" i="28"/>
  <c r="H17" i="28"/>
  <c r="K17" i="28" s="1"/>
  <c r="H18" i="28"/>
  <c r="H19" i="28"/>
  <c r="K19" i="28" s="1"/>
  <c r="H20" i="28"/>
  <c r="K20" i="28" s="1"/>
  <c r="H21" i="28"/>
  <c r="K21" i="28" s="1"/>
  <c r="H22" i="28"/>
  <c r="K22" i="28" s="1"/>
  <c r="H23" i="28"/>
  <c r="H24" i="28"/>
  <c r="K24" i="28" s="1"/>
  <c r="H25" i="28"/>
  <c r="K25" i="28" s="1"/>
  <c r="H26" i="28"/>
  <c r="K26" i="28" s="1"/>
  <c r="H27" i="28"/>
  <c r="K27" i="28" s="1"/>
  <c r="H28" i="28"/>
  <c r="K28" i="28" s="1"/>
  <c r="H29" i="28"/>
  <c r="K29" i="28" s="1"/>
  <c r="H30" i="28"/>
  <c r="K30" i="28" s="1"/>
  <c r="H31" i="28"/>
  <c r="K31" i="28" s="1"/>
  <c r="H32" i="28"/>
  <c r="H33" i="28"/>
  <c r="K33" i="28" s="1"/>
  <c r="H34" i="28"/>
  <c r="H35" i="28"/>
  <c r="K35" i="28" s="1"/>
  <c r="H36" i="28"/>
  <c r="K36" i="28" s="1"/>
  <c r="H8" i="28"/>
  <c r="K8" i="28" s="1"/>
  <c r="C63" i="3" l="1"/>
  <c r="C62" i="3"/>
  <c r="C61" i="3"/>
  <c r="C60" i="3"/>
  <c r="C59" i="3"/>
  <c r="C58" i="3"/>
  <c r="H51" i="44"/>
  <c r="A42" i="74"/>
  <c r="A41" i="74"/>
  <c r="A6" i="72"/>
  <c r="A5" i="72"/>
  <c r="H1" i="72"/>
  <c r="J1" i="74"/>
  <c r="F5" i="74" s="1"/>
  <c r="A1" i="74"/>
  <c r="D77" i="73"/>
  <c r="B77" i="73"/>
  <c r="D76" i="73"/>
  <c r="B76" i="73"/>
  <c r="D75" i="73"/>
  <c r="B75" i="73"/>
  <c r="D74" i="73"/>
  <c r="B74" i="73"/>
  <c r="M68" i="73"/>
  <c r="H1" i="73"/>
  <c r="J58" i="73" s="1"/>
  <c r="A1" i="73"/>
  <c r="C16" i="27"/>
  <c r="A80" i="27"/>
  <c r="A79" i="27"/>
  <c r="A8" i="27"/>
  <c r="A6" i="27"/>
  <c r="A1" i="27"/>
  <c r="H1" i="27"/>
  <c r="F13" i="73" l="1"/>
  <c r="G6" i="74"/>
  <c r="B78" i="73"/>
  <c r="D13" i="73"/>
  <c r="D78" i="73"/>
  <c r="J47" i="73"/>
  <c r="M45" i="73"/>
  <c r="M49" i="73"/>
  <c r="M58" i="73" s="1"/>
  <c r="J6" i="74"/>
  <c r="B5" i="74"/>
  <c r="D5" i="74"/>
  <c r="J66" i="73"/>
  <c r="J68" i="73"/>
  <c r="J55" i="73"/>
  <c r="A10" i="73"/>
  <c r="J57" i="73"/>
  <c r="B73" i="73"/>
  <c r="B13" i="73"/>
  <c r="J43" i="73"/>
  <c r="D73" i="73"/>
  <c r="J50" i="73"/>
  <c r="J67" i="73"/>
  <c r="J69" i="73"/>
  <c r="F73" i="73"/>
  <c r="G14" i="73"/>
  <c r="J49" i="73"/>
  <c r="A1" i="3" l="1"/>
  <c r="H62" i="27" l="1"/>
  <c r="E27" i="49"/>
  <c r="E24" i="49"/>
  <c r="E23" i="49"/>
  <c r="E33" i="15"/>
  <c r="E16" i="49"/>
  <c r="E60" i="14" s="1"/>
  <c r="E74" i="14"/>
  <c r="E34" i="14"/>
  <c r="E35" i="12"/>
  <c r="F38" i="12" s="1"/>
  <c r="E7" i="49"/>
  <c r="E26" i="42" s="1"/>
  <c r="H42" i="38"/>
  <c r="G40" i="38"/>
  <c r="D29" i="36"/>
  <c r="J14" i="21"/>
  <c r="J13" i="21"/>
  <c r="J14" i="20"/>
  <c r="J13" i="20"/>
  <c r="J15" i="19"/>
  <c r="J14" i="19"/>
  <c r="J13" i="18"/>
  <c r="J12" i="18"/>
  <c r="J14" i="17"/>
  <c r="J13" i="17"/>
  <c r="J14" i="16"/>
  <c r="J13" i="16"/>
  <c r="J13" i="15"/>
  <c r="J12" i="15"/>
  <c r="J15" i="14"/>
  <c r="J14" i="14"/>
  <c r="J14" i="13"/>
  <c r="J13" i="13"/>
  <c r="J15" i="12"/>
  <c r="J14" i="12"/>
  <c r="J15" i="10"/>
  <c r="J14" i="10"/>
  <c r="J31" i="42"/>
  <c r="J32" i="42"/>
  <c r="C42" i="3"/>
  <c r="C41" i="3"/>
  <c r="C76" i="20"/>
  <c r="C35" i="20"/>
  <c r="E44" i="10"/>
  <c r="D44" i="10"/>
  <c r="C44" i="10"/>
  <c r="D39" i="21"/>
  <c r="D80" i="21"/>
  <c r="D39" i="19"/>
  <c r="D80" i="19"/>
  <c r="D79" i="18"/>
  <c r="D39" i="18"/>
  <c r="D40" i="17"/>
  <c r="D80" i="17"/>
  <c r="D39" i="16"/>
  <c r="D80" i="16"/>
  <c r="D39" i="15"/>
  <c r="D79" i="15"/>
  <c r="D40" i="14"/>
  <c r="D80" i="14"/>
  <c r="D40" i="13"/>
  <c r="D81" i="13"/>
  <c r="D41" i="12"/>
  <c r="D82" i="12"/>
  <c r="D80" i="10"/>
  <c r="D41" i="10"/>
  <c r="D60" i="44"/>
  <c r="D58" i="42"/>
  <c r="D80" i="20"/>
  <c r="B45" i="20"/>
  <c r="D39" i="20"/>
  <c r="E1" i="20"/>
  <c r="G9" i="20" s="1"/>
  <c r="B1" i="20"/>
  <c r="B5" i="20"/>
  <c r="D74" i="20"/>
  <c r="C74" i="20"/>
  <c r="C73" i="20" s="1"/>
  <c r="C62" i="20"/>
  <c r="C63" i="20" s="1"/>
  <c r="E44" i="20"/>
  <c r="D44" i="20"/>
  <c r="C44" i="20"/>
  <c r="D33" i="20"/>
  <c r="C33" i="20"/>
  <c r="G23" i="20" s="1"/>
  <c r="C22" i="20"/>
  <c r="C23" i="20" s="1"/>
  <c r="D62" i="21"/>
  <c r="D61" i="21" s="1"/>
  <c r="D22" i="21"/>
  <c r="D62" i="20"/>
  <c r="D61" i="20" s="1"/>
  <c r="D22" i="20"/>
  <c r="D21" i="20" s="1"/>
  <c r="D62" i="19"/>
  <c r="D61" i="19" s="1"/>
  <c r="D22" i="19"/>
  <c r="D21" i="19" s="1"/>
  <c r="D62" i="18"/>
  <c r="D61" i="18" s="1"/>
  <c r="D22" i="18"/>
  <c r="D21" i="18" s="1"/>
  <c r="H33" i="2"/>
  <c r="D47" i="17" s="1"/>
  <c r="D63" i="17" s="1"/>
  <c r="D62" i="17" s="1"/>
  <c r="H32" i="2"/>
  <c r="D8" i="17" s="1"/>
  <c r="D22" i="17" s="1"/>
  <c r="D21" i="17" s="1"/>
  <c r="H31" i="2"/>
  <c r="D46" i="16" s="1"/>
  <c r="D62" i="16" s="1"/>
  <c r="D61" i="16" s="1"/>
  <c r="H30" i="2"/>
  <c r="D8" i="16" s="1"/>
  <c r="D22" i="16" s="1"/>
  <c r="D21" i="16" s="1"/>
  <c r="H29" i="2"/>
  <c r="D46" i="15"/>
  <c r="D62" i="15" s="1"/>
  <c r="D61" i="15" s="1"/>
  <c r="H28" i="2"/>
  <c r="D8" i="15" s="1"/>
  <c r="D22" i="15" s="1"/>
  <c r="D21" i="15" s="1"/>
  <c r="H27" i="2"/>
  <c r="D47" i="14" s="1"/>
  <c r="D63" i="14" s="1"/>
  <c r="D62" i="14" s="1"/>
  <c r="H26" i="2"/>
  <c r="D8" i="14" s="1"/>
  <c r="D22" i="14" s="1"/>
  <c r="D21" i="14" s="1"/>
  <c r="H25" i="2"/>
  <c r="D47" i="13" s="1"/>
  <c r="D63" i="13" s="1"/>
  <c r="D62" i="13" s="1"/>
  <c r="H24" i="2"/>
  <c r="D8" i="13" s="1"/>
  <c r="D22" i="13" s="1"/>
  <c r="D21" i="13" s="1"/>
  <c r="H23" i="2"/>
  <c r="D48" i="12" s="1"/>
  <c r="D64" i="12" s="1"/>
  <c r="D63" i="12" s="1"/>
  <c r="H22" i="2"/>
  <c r="D8" i="12" s="1"/>
  <c r="D23" i="12" s="1"/>
  <c r="D22" i="12" s="1"/>
  <c r="H21" i="2"/>
  <c r="D48" i="10" s="1"/>
  <c r="D63" i="10" s="1"/>
  <c r="D62" i="10" s="1"/>
  <c r="H20" i="2"/>
  <c r="D8" i="10" s="1"/>
  <c r="D23" i="10" s="1"/>
  <c r="D22" i="10" s="1"/>
  <c r="H19" i="2"/>
  <c r="D8" i="44" s="1"/>
  <c r="D26" i="44" s="1"/>
  <c r="D25" i="44" s="1"/>
  <c r="H18" i="2"/>
  <c r="D9" i="42" s="1"/>
  <c r="D29" i="42" s="1"/>
  <c r="H17" i="2"/>
  <c r="D8" i="8"/>
  <c r="D28" i="8" s="1"/>
  <c r="D27" i="8" s="1"/>
  <c r="D65" i="8"/>
  <c r="C76" i="21"/>
  <c r="D99" i="21"/>
  <c r="C35" i="21"/>
  <c r="C76" i="19"/>
  <c r="C35" i="19"/>
  <c r="C75" i="18"/>
  <c r="C35" i="18"/>
  <c r="C76" i="17"/>
  <c r="D76" i="17"/>
  <c r="C36" i="17"/>
  <c r="D36" i="17"/>
  <c r="C76" i="16"/>
  <c r="D76" i="16"/>
  <c r="C35" i="16"/>
  <c r="D35" i="16"/>
  <c r="C75" i="15"/>
  <c r="D75" i="15"/>
  <c r="C35" i="15"/>
  <c r="D35" i="15"/>
  <c r="C76" i="14"/>
  <c r="D76" i="14"/>
  <c r="C36" i="14"/>
  <c r="D36" i="14"/>
  <c r="C77" i="13"/>
  <c r="D77" i="13"/>
  <c r="C36" i="13"/>
  <c r="D36" i="13"/>
  <c r="C78" i="12"/>
  <c r="D78" i="12"/>
  <c r="C37" i="12"/>
  <c r="D37" i="12"/>
  <c r="C76" i="10"/>
  <c r="D76" i="10"/>
  <c r="C37" i="10"/>
  <c r="D37" i="10"/>
  <c r="C56" i="44"/>
  <c r="D56" i="44"/>
  <c r="C54" i="42"/>
  <c r="D54" i="42"/>
  <c r="C61" i="8"/>
  <c r="D61" i="8"/>
  <c r="D34" i="49"/>
  <c r="D36" i="49" s="1"/>
  <c r="A111" i="2"/>
  <c r="A110" i="2"/>
  <c r="D81" i="2"/>
  <c r="A1" i="43"/>
  <c r="A1" i="6"/>
  <c r="A1" i="30"/>
  <c r="A1" i="29"/>
  <c r="A1" i="45"/>
  <c r="A1" i="46"/>
  <c r="A1" i="47"/>
  <c r="A1" i="48"/>
  <c r="A5" i="27"/>
  <c r="A1" i="28"/>
  <c r="D52" i="42"/>
  <c r="C26" i="44"/>
  <c r="C25" i="44" s="1"/>
  <c r="C23" i="10"/>
  <c r="C24" i="10" s="1"/>
  <c r="C35" i="10"/>
  <c r="D35" i="10"/>
  <c r="C35" i="12"/>
  <c r="C23" i="12"/>
  <c r="C24" i="12" s="1"/>
  <c r="D35" i="12"/>
  <c r="D34" i="12" s="1"/>
  <c r="C34" i="13"/>
  <c r="C22" i="13"/>
  <c r="C23" i="13" s="1"/>
  <c r="D34" i="13"/>
  <c r="C34" i="14"/>
  <c r="C33" i="14" s="1"/>
  <c r="C22" i="14"/>
  <c r="C21" i="14" s="1"/>
  <c r="D34" i="14"/>
  <c r="C33" i="15"/>
  <c r="C22" i="15"/>
  <c r="C21" i="15" s="1"/>
  <c r="D33" i="15"/>
  <c r="D32" i="15" s="1"/>
  <c r="C33" i="16"/>
  <c r="C22" i="16"/>
  <c r="C21" i="16" s="1"/>
  <c r="D33" i="16"/>
  <c r="D29" i="27" s="1"/>
  <c r="C34" i="17"/>
  <c r="B31" i="27" s="1"/>
  <c r="C22" i="17"/>
  <c r="C21" i="17" s="1"/>
  <c r="D34" i="17"/>
  <c r="C33" i="18"/>
  <c r="C22" i="18"/>
  <c r="C21" i="18" s="1"/>
  <c r="D33" i="18"/>
  <c r="D33" i="27" s="1"/>
  <c r="C33" i="19"/>
  <c r="C22" i="19"/>
  <c r="C23" i="19" s="1"/>
  <c r="D33" i="19"/>
  <c r="C33" i="21"/>
  <c r="C32" i="21" s="1"/>
  <c r="C22" i="21"/>
  <c r="C21" i="21" s="1"/>
  <c r="D33" i="21"/>
  <c r="C63" i="10"/>
  <c r="C62" i="10" s="1"/>
  <c r="C74" i="10"/>
  <c r="C73" i="10" s="1"/>
  <c r="D74" i="10"/>
  <c r="C64" i="12"/>
  <c r="C63" i="12" s="1"/>
  <c r="C76" i="12"/>
  <c r="D76" i="12"/>
  <c r="C63" i="13"/>
  <c r="C75" i="13"/>
  <c r="D75" i="13"/>
  <c r="C63" i="14"/>
  <c r="C64" i="14" s="1"/>
  <c r="C74" i="14"/>
  <c r="D74" i="14"/>
  <c r="D73" i="14" s="1"/>
  <c r="C62" i="15"/>
  <c r="C61" i="15" s="1"/>
  <c r="C73" i="15"/>
  <c r="D73" i="15"/>
  <c r="C62" i="16"/>
  <c r="C61" i="16" s="1"/>
  <c r="C74" i="16"/>
  <c r="C99" i="16" s="1"/>
  <c r="D74" i="16"/>
  <c r="C63" i="17"/>
  <c r="C64" i="17" s="1"/>
  <c r="C74" i="17"/>
  <c r="D74" i="17"/>
  <c r="D32" i="27" s="1"/>
  <c r="C62" i="18"/>
  <c r="C63" i="18" s="1"/>
  <c r="C73" i="18"/>
  <c r="G64" i="18" s="1"/>
  <c r="D73" i="18"/>
  <c r="D72" i="18" s="1"/>
  <c r="C62" i="19"/>
  <c r="C63" i="19" s="1"/>
  <c r="C74" i="19"/>
  <c r="B36" i="27" s="1"/>
  <c r="D74" i="19"/>
  <c r="D36" i="27" s="1"/>
  <c r="C62" i="21"/>
  <c r="C61" i="21" s="1"/>
  <c r="C74" i="21"/>
  <c r="D74" i="21"/>
  <c r="E1" i="8"/>
  <c r="D44" i="12"/>
  <c r="C44" i="12"/>
  <c r="D43" i="13"/>
  <c r="C43" i="13"/>
  <c r="D43" i="14"/>
  <c r="C43" i="14"/>
  <c r="D42" i="15"/>
  <c r="C42" i="15"/>
  <c r="D42" i="16"/>
  <c r="C42" i="16"/>
  <c r="D43" i="17"/>
  <c r="C43" i="17"/>
  <c r="D42" i="18"/>
  <c r="C42" i="18"/>
  <c r="D42" i="19"/>
  <c r="C42" i="19"/>
  <c r="E1" i="44"/>
  <c r="G50" i="44" s="1"/>
  <c r="C29" i="42"/>
  <c r="C28" i="42" s="1"/>
  <c r="C52" i="42"/>
  <c r="G41" i="42" s="1"/>
  <c r="C28" i="8"/>
  <c r="C27" i="8" s="1"/>
  <c r="E32" i="8"/>
  <c r="E1" i="42"/>
  <c r="H37" i="42" s="1"/>
  <c r="E1" i="10"/>
  <c r="E1" i="12"/>
  <c r="G14" i="12" s="1"/>
  <c r="E1" i="13"/>
  <c r="E1" i="14"/>
  <c r="B31" i="14" s="1"/>
  <c r="E1" i="15"/>
  <c r="H62" i="15" s="1"/>
  <c r="E1" i="16"/>
  <c r="G13" i="16" s="1"/>
  <c r="E1" i="17"/>
  <c r="E1" i="18"/>
  <c r="H17" i="18" s="1"/>
  <c r="E1" i="19"/>
  <c r="C40" i="19" s="1"/>
  <c r="E1" i="21"/>
  <c r="H60" i="21" s="1"/>
  <c r="B1" i="21"/>
  <c r="B1" i="19"/>
  <c r="B1" i="18"/>
  <c r="B1" i="17"/>
  <c r="B1" i="16"/>
  <c r="B1" i="15"/>
  <c r="B1" i="14"/>
  <c r="B1" i="13"/>
  <c r="B1" i="12"/>
  <c r="B1" i="10"/>
  <c r="A1" i="11"/>
  <c r="B1" i="44"/>
  <c r="B31" i="44"/>
  <c r="B1" i="42"/>
  <c r="A240" i="9"/>
  <c r="A179" i="9"/>
  <c r="A119" i="9"/>
  <c r="A61" i="9"/>
  <c r="A1" i="9"/>
  <c r="B1" i="8"/>
  <c r="B32" i="8"/>
  <c r="E1" i="22"/>
  <c r="B58" i="22" s="1"/>
  <c r="E1" i="23"/>
  <c r="B54" i="23" s="1"/>
  <c r="E1" i="24"/>
  <c r="B24" i="24" s="1"/>
  <c r="E1" i="25"/>
  <c r="B29" i="25" s="1"/>
  <c r="E1" i="26"/>
  <c r="E1" i="36"/>
  <c r="E1" i="35"/>
  <c r="B29" i="35" s="1"/>
  <c r="E1" i="37"/>
  <c r="B54" i="37" s="1"/>
  <c r="B1" i="22"/>
  <c r="B1" i="23"/>
  <c r="B1" i="24"/>
  <c r="B1" i="25"/>
  <c r="B1" i="26"/>
  <c r="B1" i="36"/>
  <c r="B1" i="35"/>
  <c r="B1" i="37"/>
  <c r="C59" i="35"/>
  <c r="D59" i="35"/>
  <c r="C29" i="35"/>
  <c r="D29" i="35"/>
  <c r="C59" i="36"/>
  <c r="D59" i="36"/>
  <c r="D60" i="36" s="1"/>
  <c r="C29" i="36"/>
  <c r="C59" i="26"/>
  <c r="D59" i="26"/>
  <c r="C29" i="26"/>
  <c r="C30" i="26"/>
  <c r="D29" i="26"/>
  <c r="C58" i="25"/>
  <c r="D58" i="25"/>
  <c r="C29" i="25"/>
  <c r="D29" i="25"/>
  <c r="C58" i="24"/>
  <c r="D58" i="24"/>
  <c r="C29" i="24"/>
  <c r="D29" i="24"/>
  <c r="C59" i="23"/>
  <c r="C56" i="22"/>
  <c r="C44" i="22"/>
  <c r="D56" i="22"/>
  <c r="D44" i="22"/>
  <c r="D43" i="22" s="1"/>
  <c r="E44" i="22"/>
  <c r="E43" i="22" s="1"/>
  <c r="E56" i="22"/>
  <c r="C57" i="23"/>
  <c r="B44" i="73" s="1"/>
  <c r="C44" i="23"/>
  <c r="C43" i="23"/>
  <c r="D57" i="23"/>
  <c r="D44" i="73" s="1"/>
  <c r="D44" i="23"/>
  <c r="D43" i="23" s="1"/>
  <c r="E44" i="23"/>
  <c r="E57" i="23"/>
  <c r="E59" i="23" s="1"/>
  <c r="C44" i="24"/>
  <c r="C45" i="24" s="1"/>
  <c r="C56" i="24"/>
  <c r="D56" i="24"/>
  <c r="D44" i="24"/>
  <c r="D43" i="24" s="1"/>
  <c r="E44" i="24"/>
  <c r="E43" i="24" s="1"/>
  <c r="E56" i="24"/>
  <c r="C56" i="25"/>
  <c r="C44" i="25"/>
  <c r="C45" i="25" s="1"/>
  <c r="C57" i="25" s="1"/>
  <c r="D56" i="25"/>
  <c r="D44" i="25"/>
  <c r="D43" i="25" s="1"/>
  <c r="E44" i="25"/>
  <c r="E43" i="25" s="1"/>
  <c r="E56" i="25"/>
  <c r="C44" i="26"/>
  <c r="C57" i="26"/>
  <c r="D57" i="26"/>
  <c r="D44" i="26"/>
  <c r="D43" i="26" s="1"/>
  <c r="E44" i="26"/>
  <c r="E43" i="26"/>
  <c r="E57" i="26"/>
  <c r="E56" i="26"/>
  <c r="C44" i="36"/>
  <c r="C45" i="36"/>
  <c r="C58" i="36" s="1"/>
  <c r="C63" i="36" s="1"/>
  <c r="C57" i="36"/>
  <c r="D57" i="36"/>
  <c r="D44" i="36"/>
  <c r="D43" i="36" s="1"/>
  <c r="E44" i="36"/>
  <c r="E57" i="36"/>
  <c r="C44" i="35"/>
  <c r="C57" i="35"/>
  <c r="B55" i="73" s="1"/>
  <c r="D57" i="35"/>
  <c r="D44" i="35"/>
  <c r="D43" i="35" s="1"/>
  <c r="E44" i="35"/>
  <c r="E43" i="35" s="1"/>
  <c r="E57" i="35"/>
  <c r="F55" i="73" s="1"/>
  <c r="C57" i="37"/>
  <c r="B57" i="73" s="1"/>
  <c r="C44" i="37"/>
  <c r="D44" i="37"/>
  <c r="D43" i="37" s="1"/>
  <c r="D57" i="37"/>
  <c r="D57" i="73" s="1"/>
  <c r="D56" i="37"/>
  <c r="E44" i="37"/>
  <c r="E43" i="37" s="1"/>
  <c r="E57" i="37"/>
  <c r="F57" i="73" s="1"/>
  <c r="D59" i="37"/>
  <c r="D60" i="37" s="1"/>
  <c r="C59" i="37"/>
  <c r="C27" i="22"/>
  <c r="C15" i="22"/>
  <c r="D27" i="22"/>
  <c r="D15" i="22"/>
  <c r="E15" i="22"/>
  <c r="E14" i="22" s="1"/>
  <c r="E27" i="22"/>
  <c r="C27" i="23"/>
  <c r="C30" i="23" s="1"/>
  <c r="D27" i="23"/>
  <c r="E27" i="23"/>
  <c r="C27" i="24"/>
  <c r="C15" i="24"/>
  <c r="D27" i="24"/>
  <c r="D15" i="24"/>
  <c r="D14" i="24" s="1"/>
  <c r="E15" i="24"/>
  <c r="E14" i="24" s="1"/>
  <c r="E27" i="24"/>
  <c r="C27" i="25"/>
  <c r="B47" i="73" s="1"/>
  <c r="D27" i="25"/>
  <c r="D47" i="73" s="1"/>
  <c r="E27" i="25"/>
  <c r="E29" i="25" s="1"/>
  <c r="C27" i="26"/>
  <c r="C15" i="26"/>
  <c r="C16" i="26" s="1"/>
  <c r="C28" i="26" s="1"/>
  <c r="D27" i="26"/>
  <c r="D15" i="26"/>
  <c r="E15" i="26"/>
  <c r="E14" i="26" s="1"/>
  <c r="E27" i="26"/>
  <c r="F49" i="73" s="1"/>
  <c r="C27" i="36"/>
  <c r="C15" i="36"/>
  <c r="C16" i="36"/>
  <c r="D27" i="36"/>
  <c r="D51" i="73" s="1"/>
  <c r="D15" i="36"/>
  <c r="E15" i="36"/>
  <c r="E14" i="36"/>
  <c r="E27" i="36"/>
  <c r="C27" i="35"/>
  <c r="C15" i="35"/>
  <c r="D27" i="35"/>
  <c r="D15" i="35"/>
  <c r="E15" i="35"/>
  <c r="E14" i="35" s="1"/>
  <c r="E27" i="35"/>
  <c r="C27" i="37"/>
  <c r="C15" i="37"/>
  <c r="D15" i="37"/>
  <c r="D14" i="37" s="1"/>
  <c r="D27" i="37"/>
  <c r="E15" i="37"/>
  <c r="E27" i="37"/>
  <c r="C29" i="37"/>
  <c r="D29" i="37"/>
  <c r="D30" i="37" s="1"/>
  <c r="A1" i="49"/>
  <c r="A1" i="38"/>
  <c r="A1" i="4"/>
  <c r="A6" i="3"/>
  <c r="A4" i="3"/>
  <c r="A81" i="2"/>
  <c r="A52" i="2"/>
  <c r="A34" i="2"/>
  <c r="D15" i="2"/>
  <c r="F1" i="49"/>
  <c r="A43" i="49" s="1"/>
  <c r="J28" i="48"/>
  <c r="J17" i="48"/>
  <c r="J18" i="48"/>
  <c r="J29" i="48" s="1"/>
  <c r="J30" i="48" s="1"/>
  <c r="H28" i="48"/>
  <c r="H17" i="48"/>
  <c r="H18" i="48" s="1"/>
  <c r="H29" i="48" s="1"/>
  <c r="H30" i="48" s="1"/>
  <c r="F17" i="48"/>
  <c r="F28" i="48"/>
  <c r="D17" i="48"/>
  <c r="D18" i="48" s="1"/>
  <c r="D29" i="48" s="1"/>
  <c r="D28" i="48"/>
  <c r="K28" i="48" s="1"/>
  <c r="B17" i="48"/>
  <c r="B18" i="48" s="1"/>
  <c r="B29" i="48" s="1"/>
  <c r="B30" i="48" s="1"/>
  <c r="B28" i="48"/>
  <c r="J17" i="47"/>
  <c r="J18" i="47" s="1"/>
  <c r="J29" i="47" s="1"/>
  <c r="J30" i="47" s="1"/>
  <c r="J28" i="47"/>
  <c r="H28" i="47"/>
  <c r="H17" i="47"/>
  <c r="F17" i="47"/>
  <c r="F18" i="47" s="1"/>
  <c r="F29" i="47" s="1"/>
  <c r="F30" i="47" s="1"/>
  <c r="F28" i="47"/>
  <c r="D17" i="47"/>
  <c r="D18" i="47"/>
  <c r="D28" i="47"/>
  <c r="B17" i="47"/>
  <c r="B18" i="47" s="1"/>
  <c r="B29" i="47" s="1"/>
  <c r="B30" i="47" s="1"/>
  <c r="B28" i="47"/>
  <c r="K28" i="47" s="1"/>
  <c r="J17" i="46"/>
  <c r="J18" i="46" s="1"/>
  <c r="J28" i="46"/>
  <c r="H17" i="46"/>
  <c r="H18" i="46"/>
  <c r="H28" i="46"/>
  <c r="F17" i="46"/>
  <c r="F18" i="46" s="1"/>
  <c r="F29" i="46" s="1"/>
  <c r="F28" i="46"/>
  <c r="D17" i="46"/>
  <c r="D18" i="46" s="1"/>
  <c r="D29" i="46" s="1"/>
  <c r="D30" i="46" s="1"/>
  <c r="D28" i="46"/>
  <c r="B17" i="46"/>
  <c r="B18" i="46" s="1"/>
  <c r="B28" i="46"/>
  <c r="J17" i="45"/>
  <c r="J18" i="45" s="1"/>
  <c r="J28" i="45"/>
  <c r="J29" i="45" s="1"/>
  <c r="J30" i="45" s="1"/>
  <c r="H17" i="45"/>
  <c r="H18" i="45" s="1"/>
  <c r="H29" i="45" s="1"/>
  <c r="H30" i="45" s="1"/>
  <c r="H28" i="45"/>
  <c r="F17" i="45"/>
  <c r="F18" i="45" s="1"/>
  <c r="F28" i="45"/>
  <c r="D17" i="45"/>
  <c r="D28" i="45"/>
  <c r="B28" i="45"/>
  <c r="B17" i="45"/>
  <c r="B18" i="45" s="1"/>
  <c r="F15" i="2"/>
  <c r="E15" i="2"/>
  <c r="H16" i="2" s="1"/>
  <c r="B7" i="38"/>
  <c r="B8" i="38"/>
  <c r="B9" i="38"/>
  <c r="B10" i="38"/>
  <c r="B11" i="38"/>
  <c r="B12" i="38"/>
  <c r="B13" i="38"/>
  <c r="B14" i="38"/>
  <c r="B15" i="38"/>
  <c r="B16" i="38"/>
  <c r="B17" i="38"/>
  <c r="B18" i="38"/>
  <c r="B19" i="38"/>
  <c r="B20" i="38"/>
  <c r="B21" i="38"/>
  <c r="B22" i="38"/>
  <c r="B23" i="38"/>
  <c r="K1" i="48"/>
  <c r="F2" i="48" s="1"/>
  <c r="K1" i="47"/>
  <c r="F2" i="47" s="1"/>
  <c r="K1" i="46"/>
  <c r="F2" i="46" s="1"/>
  <c r="K1" i="45"/>
  <c r="F2" i="45" s="1"/>
  <c r="E1" i="43"/>
  <c r="A12" i="43" s="1"/>
  <c r="E37" i="4"/>
  <c r="D37" i="4"/>
  <c r="D30" i="49"/>
  <c r="E30" i="49"/>
  <c r="D29" i="49"/>
  <c r="E29" i="49"/>
  <c r="D28" i="49"/>
  <c r="E28" i="49"/>
  <c r="D27" i="49"/>
  <c r="E33" i="20"/>
  <c r="D26" i="49"/>
  <c r="E26" i="49"/>
  <c r="D25" i="49"/>
  <c r="E25" i="49"/>
  <c r="D24" i="49"/>
  <c r="D23" i="49"/>
  <c r="E33" i="18"/>
  <c r="D22" i="49"/>
  <c r="E22" i="49"/>
  <c r="E60" i="17" s="1"/>
  <c r="D21" i="49"/>
  <c r="E21" i="49" s="1"/>
  <c r="E19" i="17" s="1"/>
  <c r="D20" i="49"/>
  <c r="E20" i="49"/>
  <c r="D19" i="49"/>
  <c r="E19" i="49" s="1"/>
  <c r="E19" i="16" s="1"/>
  <c r="D18" i="49"/>
  <c r="E18" i="49" s="1"/>
  <c r="E59" i="15" s="1"/>
  <c r="E73" i="15"/>
  <c r="D17" i="49"/>
  <c r="E17" i="49" s="1"/>
  <c r="E19" i="15" s="1"/>
  <c r="D16" i="49"/>
  <c r="D15" i="49"/>
  <c r="E15" i="49" s="1"/>
  <c r="E19" i="14" s="1"/>
  <c r="D14" i="49"/>
  <c r="E14" i="49" s="1"/>
  <c r="E60" i="13" s="1"/>
  <c r="E75" i="13"/>
  <c r="D13" i="49"/>
  <c r="E13" i="49" s="1"/>
  <c r="E19" i="13" s="1"/>
  <c r="E34" i="13"/>
  <c r="D12" i="49"/>
  <c r="E12" i="49" s="1"/>
  <c r="E61" i="12" s="1"/>
  <c r="E76" i="12"/>
  <c r="D11" i="49"/>
  <c r="E11" i="49" s="1"/>
  <c r="E20" i="12" s="1"/>
  <c r="D10" i="49"/>
  <c r="E10" i="49" s="1"/>
  <c r="E60" i="10" s="1"/>
  <c r="E74" i="10"/>
  <c r="E73" i="10" s="1"/>
  <c r="D9" i="49"/>
  <c r="E9" i="49" s="1"/>
  <c r="E20" i="10" s="1"/>
  <c r="E35" i="10"/>
  <c r="D8" i="49"/>
  <c r="E8" i="49" s="1"/>
  <c r="E23" i="44" s="1"/>
  <c r="D7" i="49"/>
  <c r="E52" i="42"/>
  <c r="D21" i="3" s="1"/>
  <c r="D6" i="49"/>
  <c r="E6" i="49"/>
  <c r="E25" i="8" s="1"/>
  <c r="D38" i="49"/>
  <c r="D40" i="49" s="1"/>
  <c r="C22" i="3"/>
  <c r="C12" i="11"/>
  <c r="C18" i="11"/>
  <c r="D46" i="27"/>
  <c r="D51" i="27"/>
  <c r="D53" i="27"/>
  <c r="B13" i="9"/>
  <c r="B12" i="11"/>
  <c r="B18" i="11"/>
  <c r="B47" i="11"/>
  <c r="C67" i="44"/>
  <c r="C21" i="3"/>
  <c r="D34" i="38"/>
  <c r="E36" i="38"/>
  <c r="F38" i="38"/>
  <c r="E16" i="8"/>
  <c r="E17" i="8"/>
  <c r="E15" i="8"/>
  <c r="D12" i="11"/>
  <c r="D18" i="11"/>
  <c r="B6" i="49"/>
  <c r="B7" i="49"/>
  <c r="B8" i="49"/>
  <c r="B9" i="49"/>
  <c r="B10" i="49"/>
  <c r="B11" i="49"/>
  <c r="B12" i="49"/>
  <c r="B13" i="49"/>
  <c r="B14" i="49"/>
  <c r="B15" i="49"/>
  <c r="B16" i="49"/>
  <c r="B17" i="49"/>
  <c r="B18" i="49"/>
  <c r="B19" i="49"/>
  <c r="B20" i="49"/>
  <c r="B21" i="49"/>
  <c r="B22" i="49"/>
  <c r="B23" i="49"/>
  <c r="B24" i="49"/>
  <c r="B25" i="49"/>
  <c r="B26" i="49"/>
  <c r="B27" i="49"/>
  <c r="B28" i="49"/>
  <c r="B29" i="49"/>
  <c r="B30" i="49"/>
  <c r="C31" i="49"/>
  <c r="J1" i="28"/>
  <c r="F5" i="28" s="1"/>
  <c r="J43" i="27"/>
  <c r="A16" i="27"/>
  <c r="E16" i="27"/>
  <c r="G56" i="8" s="1"/>
  <c r="F66" i="27"/>
  <c r="M64" i="27" s="1"/>
  <c r="A17" i="27"/>
  <c r="C17" i="27"/>
  <c r="E17" i="27"/>
  <c r="G47" i="42" s="1"/>
  <c r="A18" i="27"/>
  <c r="C18" i="27"/>
  <c r="E18" i="27"/>
  <c r="A19" i="27"/>
  <c r="C19" i="27"/>
  <c r="E19" i="27"/>
  <c r="G30" i="10" s="1"/>
  <c r="A20" i="27"/>
  <c r="C20" i="27"/>
  <c r="E20" i="27"/>
  <c r="G70" i="10" s="1"/>
  <c r="A21" i="27"/>
  <c r="C21" i="27"/>
  <c r="E21" i="27"/>
  <c r="G30" i="12" s="1"/>
  <c r="A22" i="27"/>
  <c r="C22" i="27"/>
  <c r="E22" i="27"/>
  <c r="G72" i="12" s="1"/>
  <c r="A23" i="27"/>
  <c r="C23" i="27"/>
  <c r="E23" i="27"/>
  <c r="G29" i="13" s="1"/>
  <c r="A24" i="27"/>
  <c r="C24" i="27"/>
  <c r="E24" i="27"/>
  <c r="G71" i="13" s="1"/>
  <c r="A25" i="27"/>
  <c r="C25" i="27"/>
  <c r="E25" i="27"/>
  <c r="G30" i="14" s="1"/>
  <c r="A26" i="27"/>
  <c r="C26" i="27"/>
  <c r="E26" i="27"/>
  <c r="G70" i="14" s="1"/>
  <c r="A27" i="27"/>
  <c r="C27" i="27"/>
  <c r="E27" i="27"/>
  <c r="G28" i="15" s="1"/>
  <c r="A28" i="27"/>
  <c r="C28" i="27"/>
  <c r="E28" i="27"/>
  <c r="G70" i="15" s="1"/>
  <c r="A29" i="27"/>
  <c r="C29" i="27"/>
  <c r="E29" i="27"/>
  <c r="G29" i="16" s="1"/>
  <c r="A30" i="27"/>
  <c r="C30" i="27"/>
  <c r="E30" i="27"/>
  <c r="G71" i="16" s="1"/>
  <c r="A31" i="27"/>
  <c r="C31" i="27"/>
  <c r="E31" i="27"/>
  <c r="G30" i="17" s="1"/>
  <c r="A32" i="27"/>
  <c r="C32" i="27"/>
  <c r="E32" i="27"/>
  <c r="G70" i="17" s="1"/>
  <c r="A33" i="27"/>
  <c r="C33" i="27"/>
  <c r="G28" i="18"/>
  <c r="A34" i="27"/>
  <c r="C34" i="27"/>
  <c r="G70" i="18"/>
  <c r="A35" i="27"/>
  <c r="C35" i="27"/>
  <c r="G30" i="19"/>
  <c r="A36" i="27"/>
  <c r="C36" i="27"/>
  <c r="G70" i="19"/>
  <c r="A37" i="27"/>
  <c r="C37" i="27"/>
  <c r="G29" i="20"/>
  <c r="A38" i="27"/>
  <c r="C38" i="27"/>
  <c r="G71" i="20"/>
  <c r="A39" i="27"/>
  <c r="C39" i="27"/>
  <c r="G29" i="21"/>
  <c r="G71" i="21"/>
  <c r="F52" i="27"/>
  <c r="A56" i="27"/>
  <c r="F56" i="27"/>
  <c r="A57" i="27"/>
  <c r="A58" i="27"/>
  <c r="A59" i="27"/>
  <c r="A60" i="27"/>
  <c r="C25" i="6"/>
  <c r="C27" i="6" s="1"/>
  <c r="D25" i="6"/>
  <c r="D27" i="6" s="1"/>
  <c r="E25" i="6"/>
  <c r="E27" i="6" s="1"/>
  <c r="B65" i="27"/>
  <c r="B66" i="27"/>
  <c r="D66" i="27"/>
  <c r="B70" i="27"/>
  <c r="D70" i="27"/>
  <c r="F19" i="29"/>
  <c r="B71" i="27"/>
  <c r="D71" i="27"/>
  <c r="F27" i="29"/>
  <c r="B72" i="27"/>
  <c r="D72" i="27"/>
  <c r="F36" i="29"/>
  <c r="B73" i="27"/>
  <c r="D73" i="27"/>
  <c r="F37" i="30"/>
  <c r="A5" i="48"/>
  <c r="C5" i="48"/>
  <c r="E5" i="48"/>
  <c r="G5" i="48"/>
  <c r="I5" i="48"/>
  <c r="K7" i="48"/>
  <c r="A5" i="47"/>
  <c r="C5" i="47"/>
  <c r="E5" i="47"/>
  <c r="G5" i="47"/>
  <c r="I5" i="47"/>
  <c r="K7" i="47"/>
  <c r="A5" i="46"/>
  <c r="C5" i="46"/>
  <c r="E5" i="46"/>
  <c r="G5" i="46"/>
  <c r="I5" i="46"/>
  <c r="K7" i="46"/>
  <c r="A5" i="45"/>
  <c r="C5" i="45"/>
  <c r="E5" i="45"/>
  <c r="G5" i="45"/>
  <c r="I5" i="45"/>
  <c r="K7" i="45"/>
  <c r="C5" i="37"/>
  <c r="C34" i="37" s="1"/>
  <c r="D5" i="37"/>
  <c r="D34" i="37" s="1"/>
  <c r="E5" i="37"/>
  <c r="E34" i="37" s="1"/>
  <c r="B6" i="37"/>
  <c r="B35" i="37"/>
  <c r="C5" i="35"/>
  <c r="C34" i="35" s="1"/>
  <c r="D5" i="35"/>
  <c r="D34" i="35" s="1"/>
  <c r="E5" i="35"/>
  <c r="E34" i="35" s="1"/>
  <c r="B6" i="35"/>
  <c r="D14" i="35"/>
  <c r="B35" i="35"/>
  <c r="C5" i="36"/>
  <c r="C34" i="36" s="1"/>
  <c r="D5" i="36"/>
  <c r="D34" i="36" s="1"/>
  <c r="E5" i="36"/>
  <c r="E34" i="36" s="1"/>
  <c r="B6" i="36"/>
  <c r="B35" i="36"/>
  <c r="E43" i="36"/>
  <c r="C5" i="26"/>
  <c r="C34" i="26" s="1"/>
  <c r="D5" i="26"/>
  <c r="D34" i="26" s="1"/>
  <c r="E5" i="26"/>
  <c r="E34" i="26" s="1"/>
  <c r="B6" i="26"/>
  <c r="C14" i="26"/>
  <c r="B35" i="26"/>
  <c r="C56" i="26"/>
  <c r="C5" i="25"/>
  <c r="C34" i="25" s="1"/>
  <c r="D5" i="25"/>
  <c r="D34" i="25" s="1"/>
  <c r="E5" i="25"/>
  <c r="E34" i="25" s="1"/>
  <c r="B6" i="25"/>
  <c r="C15" i="25"/>
  <c r="C16" i="25" s="1"/>
  <c r="C28" i="25" s="1"/>
  <c r="D7" i="25" s="1"/>
  <c r="D16" i="25" s="1"/>
  <c r="D28" i="25" s="1"/>
  <c r="D15" i="25"/>
  <c r="E15" i="25"/>
  <c r="E14" i="25" s="1"/>
  <c r="B35" i="25"/>
  <c r="C5" i="24"/>
  <c r="C34" i="24" s="1"/>
  <c r="D5" i="24"/>
  <c r="D34" i="24" s="1"/>
  <c r="E5" i="24"/>
  <c r="E34" i="24" s="1"/>
  <c r="B6" i="24"/>
  <c r="C26" i="24"/>
  <c r="B35" i="24"/>
  <c r="C43" i="24"/>
  <c r="C5" i="23"/>
  <c r="C34" i="23" s="1"/>
  <c r="D5" i="23"/>
  <c r="D34" i="23" s="1"/>
  <c r="E5" i="23"/>
  <c r="E34" i="23" s="1"/>
  <c r="C15" i="23"/>
  <c r="C16" i="23" s="1"/>
  <c r="C28" i="23" s="1"/>
  <c r="C31" i="23" s="1"/>
  <c r="D15" i="23"/>
  <c r="D14" i="23" s="1"/>
  <c r="E15" i="23"/>
  <c r="E14" i="23" s="1"/>
  <c r="B35" i="23"/>
  <c r="E43" i="23"/>
  <c r="C56" i="23"/>
  <c r="D56" i="23"/>
  <c r="C5" i="22"/>
  <c r="C34" i="22" s="1"/>
  <c r="D5" i="22"/>
  <c r="D34" i="22" s="1"/>
  <c r="E5" i="22"/>
  <c r="E34" i="22" s="1"/>
  <c r="D14" i="22"/>
  <c r="C42" i="21"/>
  <c r="D42" i="21"/>
  <c r="E42" i="21"/>
  <c r="B5" i="21"/>
  <c r="E42" i="19"/>
  <c r="B5" i="19"/>
  <c r="B43" i="19"/>
  <c r="E42" i="18"/>
  <c r="B5" i="18"/>
  <c r="B43" i="18"/>
  <c r="E43" i="17"/>
  <c r="B5" i="17"/>
  <c r="B44" i="17"/>
  <c r="E42" i="16"/>
  <c r="B5" i="16"/>
  <c r="B43" i="16"/>
  <c r="E42" i="15"/>
  <c r="B5" i="15"/>
  <c r="B43" i="15"/>
  <c r="E43" i="14"/>
  <c r="B5" i="14"/>
  <c r="B44" i="14"/>
  <c r="E43" i="13"/>
  <c r="B5" i="13"/>
  <c r="B44" i="13"/>
  <c r="E44" i="12"/>
  <c r="B5" i="12"/>
  <c r="B45" i="12"/>
  <c r="B5" i="10"/>
  <c r="B45" i="10"/>
  <c r="D1" i="11"/>
  <c r="B24" i="11"/>
  <c r="C24" i="11"/>
  <c r="D24" i="11"/>
  <c r="B30" i="11"/>
  <c r="C30" i="11"/>
  <c r="D30" i="11"/>
  <c r="B36" i="11"/>
  <c r="C36" i="11"/>
  <c r="D36" i="11"/>
  <c r="B42" i="11"/>
  <c r="C42" i="11"/>
  <c r="D42" i="11"/>
  <c r="B5" i="44"/>
  <c r="B35" i="44" s="1"/>
  <c r="E31" i="44"/>
  <c r="C35" i="44" s="1"/>
  <c r="B6" i="42"/>
  <c r="D1" i="9"/>
  <c r="C13" i="9"/>
  <c r="D13" i="9"/>
  <c r="B19" i="9"/>
  <c r="C19" i="9"/>
  <c r="D19" i="9"/>
  <c r="B25" i="9"/>
  <c r="C25" i="9"/>
  <c r="D25" i="9"/>
  <c r="B31" i="9"/>
  <c r="C31" i="9"/>
  <c r="D31" i="9"/>
  <c r="B37" i="9"/>
  <c r="C37" i="9"/>
  <c r="D37" i="9"/>
  <c r="B43" i="9"/>
  <c r="C43" i="9"/>
  <c r="D43" i="9"/>
  <c r="B49" i="9"/>
  <c r="C49" i="9"/>
  <c r="D49" i="9"/>
  <c r="B55" i="9"/>
  <c r="C55" i="9"/>
  <c r="D55" i="9"/>
  <c r="B72" i="9"/>
  <c r="C72" i="9"/>
  <c r="D72" i="9"/>
  <c r="B78" i="9"/>
  <c r="C78" i="9"/>
  <c r="D78" i="9"/>
  <c r="B84" i="9"/>
  <c r="C49" i="8" s="1"/>
  <c r="C84" i="9"/>
  <c r="D84" i="9"/>
  <c r="B90" i="9"/>
  <c r="C90" i="9"/>
  <c r="D90" i="9"/>
  <c r="B96" i="9"/>
  <c r="C96" i="9"/>
  <c r="D96" i="9"/>
  <c r="B102" i="9"/>
  <c r="C102" i="9"/>
  <c r="D102" i="9"/>
  <c r="B108" i="9"/>
  <c r="C108" i="9"/>
  <c r="D108" i="9"/>
  <c r="B114" i="9"/>
  <c r="C114" i="9"/>
  <c r="D114" i="9"/>
  <c r="B132" i="9"/>
  <c r="C132" i="9"/>
  <c r="D132" i="9"/>
  <c r="B138" i="9"/>
  <c r="C138" i="9"/>
  <c r="D138" i="9"/>
  <c r="B144" i="9"/>
  <c r="C144" i="9"/>
  <c r="D144" i="9"/>
  <c r="B150" i="9"/>
  <c r="C150" i="9"/>
  <c r="D150" i="9"/>
  <c r="B156" i="9"/>
  <c r="C156" i="9"/>
  <c r="D156" i="9"/>
  <c r="B162" i="9"/>
  <c r="C162" i="9"/>
  <c r="D162" i="9"/>
  <c r="B168" i="9"/>
  <c r="C168" i="9"/>
  <c r="D168" i="9"/>
  <c r="B174" i="9"/>
  <c r="C174" i="9"/>
  <c r="D174" i="9"/>
  <c r="B190" i="9"/>
  <c r="C190" i="9"/>
  <c r="D190" i="9"/>
  <c r="B196" i="9"/>
  <c r="C196" i="9"/>
  <c r="D196" i="9"/>
  <c r="B202" i="9"/>
  <c r="C202" i="9"/>
  <c r="D202" i="9"/>
  <c r="B208" i="9"/>
  <c r="C208" i="9"/>
  <c r="D208" i="9"/>
  <c r="B214" i="9"/>
  <c r="C214" i="9"/>
  <c r="D214" i="9"/>
  <c r="B220" i="9"/>
  <c r="C220" i="9"/>
  <c r="D220" i="9"/>
  <c r="B223" i="9"/>
  <c r="C223" i="9"/>
  <c r="D223" i="9"/>
  <c r="B229" i="9"/>
  <c r="C229" i="9"/>
  <c r="D229" i="9"/>
  <c r="B235" i="9"/>
  <c r="C235" i="9"/>
  <c r="D235" i="9"/>
  <c r="B251" i="9"/>
  <c r="C251" i="9"/>
  <c r="D251" i="9"/>
  <c r="B257" i="9"/>
  <c r="C257" i="9"/>
  <c r="D257" i="9"/>
  <c r="B263" i="9"/>
  <c r="C263" i="9"/>
  <c r="D263" i="9"/>
  <c r="B269" i="9"/>
  <c r="C269" i="9"/>
  <c r="D269" i="9"/>
  <c r="B273" i="9"/>
  <c r="C273" i="9"/>
  <c r="D273" i="9"/>
  <c r="B279" i="9"/>
  <c r="C279" i="9"/>
  <c r="D279" i="9"/>
  <c r="B285" i="9"/>
  <c r="C285" i="9"/>
  <c r="D52" i="8" s="1"/>
  <c r="D285" i="9"/>
  <c r="E52" i="8" s="1"/>
  <c r="B5" i="8"/>
  <c r="B52" i="8"/>
  <c r="H1" i="30"/>
  <c r="G37" i="30"/>
  <c r="H37" i="30"/>
  <c r="L1" i="29"/>
  <c r="I19" i="29"/>
  <c r="J19" i="29"/>
  <c r="K19" i="29"/>
  <c r="L19" i="29"/>
  <c r="I27" i="29"/>
  <c r="I37" i="29" s="1"/>
  <c r="J27" i="29"/>
  <c r="K27" i="29"/>
  <c r="L27" i="29"/>
  <c r="I36" i="29"/>
  <c r="J36" i="29"/>
  <c r="K36" i="29"/>
  <c r="L36" i="29"/>
  <c r="F1" i="6"/>
  <c r="C5" i="6" s="1"/>
  <c r="B30" i="6"/>
  <c r="H1" i="38"/>
  <c r="A7" i="38"/>
  <c r="C7" i="38"/>
  <c r="A8" i="38"/>
  <c r="C8" i="38"/>
  <c r="A9" i="38"/>
  <c r="C9" i="38"/>
  <c r="A10" i="38"/>
  <c r="C10" i="38"/>
  <c r="A11" i="38"/>
  <c r="C11" i="38"/>
  <c r="A12" i="38"/>
  <c r="C12" i="38"/>
  <c r="A13" i="38"/>
  <c r="C13" i="38"/>
  <c r="A14" i="38"/>
  <c r="C14" i="38"/>
  <c r="A15" i="38"/>
  <c r="C15" i="38"/>
  <c r="A16" i="38"/>
  <c r="C16" i="38"/>
  <c r="A17" i="38"/>
  <c r="C17" i="38"/>
  <c r="A18" i="38"/>
  <c r="C18" i="38"/>
  <c r="A19" i="38"/>
  <c r="C19" i="38"/>
  <c r="A20" i="38"/>
  <c r="C20" i="38"/>
  <c r="A21" i="38"/>
  <c r="C21" i="38"/>
  <c r="A22" i="38"/>
  <c r="C22" i="38"/>
  <c r="A23" i="38"/>
  <c r="C23" i="38"/>
  <c r="A24" i="38"/>
  <c r="A25" i="38"/>
  <c r="A26" i="38"/>
  <c r="A27" i="38"/>
  <c r="A28" i="38"/>
  <c r="A29" i="38"/>
  <c r="A30" i="38"/>
  <c r="A31" i="38"/>
  <c r="G1" i="4"/>
  <c r="F1" i="3"/>
  <c r="D12" i="3" s="1"/>
  <c r="A20" i="3"/>
  <c r="B20" i="3"/>
  <c r="A21" i="3"/>
  <c r="B21" i="3"/>
  <c r="A22" i="3"/>
  <c r="B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C37" i="3"/>
  <c r="A38" i="3"/>
  <c r="C38" i="3"/>
  <c r="A39" i="3"/>
  <c r="C39" i="3"/>
  <c r="A40" i="3"/>
  <c r="C40" i="3"/>
  <c r="A41" i="3"/>
  <c r="A42" i="3"/>
  <c r="A43" i="3"/>
  <c r="C43" i="3"/>
  <c r="C44" i="3"/>
  <c r="C46" i="3"/>
  <c r="C47" i="3"/>
  <c r="A49" i="3"/>
  <c r="C49" i="3"/>
  <c r="A50" i="3"/>
  <c r="C50" i="3"/>
  <c r="C51" i="3"/>
  <c r="A52" i="3"/>
  <c r="C52" i="3"/>
  <c r="A53" i="3"/>
  <c r="C53" i="3"/>
  <c r="A54" i="3"/>
  <c r="C54" i="3"/>
  <c r="A55" i="3"/>
  <c r="C55" i="3"/>
  <c r="A56" i="3"/>
  <c r="C56" i="3"/>
  <c r="A35" i="43"/>
  <c r="A36" i="43"/>
  <c r="A37" i="43"/>
  <c r="A38" i="43"/>
  <c r="A39" i="43"/>
  <c r="A40" i="43"/>
  <c r="A41" i="43"/>
  <c r="A42" i="43"/>
  <c r="A43" i="43"/>
  <c r="A44" i="43"/>
  <c r="A45" i="43"/>
  <c r="A46" i="43"/>
  <c r="A47" i="43"/>
  <c r="A48" i="43"/>
  <c r="A49" i="43"/>
  <c r="A50" i="43"/>
  <c r="A51" i="43"/>
  <c r="A52" i="43"/>
  <c r="A53" i="43"/>
  <c r="A54" i="43"/>
  <c r="A55" i="43"/>
  <c r="A56" i="43"/>
  <c r="A57" i="43"/>
  <c r="A58" i="43"/>
  <c r="A59" i="43"/>
  <c r="A68" i="43"/>
  <c r="A69" i="43"/>
  <c r="A70" i="43"/>
  <c r="A71" i="43"/>
  <c r="A72" i="43"/>
  <c r="A73" i="43"/>
  <c r="A74" i="43"/>
  <c r="A75" i="43"/>
  <c r="F34" i="2"/>
  <c r="A78" i="2"/>
  <c r="B83" i="2"/>
  <c r="B84" i="2"/>
  <c r="B85" i="2"/>
  <c r="B86" i="2"/>
  <c r="B87" i="2"/>
  <c r="B88" i="2"/>
  <c r="B89" i="2"/>
  <c r="B90" i="2"/>
  <c r="B91" i="2"/>
  <c r="B92" i="2"/>
  <c r="B93" i="2"/>
  <c r="B94" i="2"/>
  <c r="B95" i="2"/>
  <c r="B96" i="2"/>
  <c r="B97" i="2"/>
  <c r="B98" i="2"/>
  <c r="B99" i="2"/>
  <c r="B100" i="2"/>
  <c r="B101" i="2"/>
  <c r="B102" i="2"/>
  <c r="B103" i="2"/>
  <c r="B104" i="2"/>
  <c r="B105" i="2"/>
  <c r="B106" i="2"/>
  <c r="B107" i="2"/>
  <c r="D108" i="2"/>
  <c r="A113" i="2"/>
  <c r="D114" i="2"/>
  <c r="E114" i="2"/>
  <c r="J13" i="19"/>
  <c r="J12" i="17"/>
  <c r="J55" i="13"/>
  <c r="J56" i="13"/>
  <c r="J54" i="13"/>
  <c r="J13" i="10"/>
  <c r="J54" i="17"/>
  <c r="J55" i="17"/>
  <c r="J56" i="12"/>
  <c r="J57" i="12"/>
  <c r="J54" i="19"/>
  <c r="J55" i="19"/>
  <c r="J55" i="21"/>
  <c r="J56" i="21"/>
  <c r="J54" i="21"/>
  <c r="J12" i="21"/>
  <c r="J55" i="20"/>
  <c r="J56" i="20"/>
  <c r="J54" i="20"/>
  <c r="J12" i="20"/>
  <c r="J53" i="19"/>
  <c r="J54" i="18"/>
  <c r="J55" i="18"/>
  <c r="J53" i="18"/>
  <c r="J11" i="18"/>
  <c r="J53" i="17"/>
  <c r="J55" i="16"/>
  <c r="J56" i="16"/>
  <c r="J54" i="16"/>
  <c r="J12" i="16"/>
  <c r="J11" i="15"/>
  <c r="J54" i="14"/>
  <c r="J55" i="14"/>
  <c r="J53" i="14"/>
  <c r="J13" i="14"/>
  <c r="J55" i="12"/>
  <c r="J13" i="12"/>
  <c r="J54" i="10"/>
  <c r="J55" i="10"/>
  <c r="J53" i="10"/>
  <c r="J54" i="15"/>
  <c r="J55" i="15"/>
  <c r="J53" i="15"/>
  <c r="J12" i="13"/>
  <c r="J30" i="42"/>
  <c r="D14" i="25"/>
  <c r="C14" i="37"/>
  <c r="C16" i="37"/>
  <c r="C28" i="37" s="1"/>
  <c r="C31" i="37" s="1"/>
  <c r="C16" i="35"/>
  <c r="C28" i="35" s="1"/>
  <c r="C14" i="35"/>
  <c r="C55" i="25"/>
  <c r="B48" i="27"/>
  <c r="C30" i="42"/>
  <c r="D52" i="3"/>
  <c r="B56" i="27"/>
  <c r="D48" i="3"/>
  <c r="E59" i="26"/>
  <c r="F50" i="27"/>
  <c r="E58" i="24"/>
  <c r="E55" i="24"/>
  <c r="F46" i="27"/>
  <c r="E29" i="24"/>
  <c r="E26" i="22"/>
  <c r="E29" i="22"/>
  <c r="D6" i="42"/>
  <c r="F13" i="27"/>
  <c r="J47" i="27"/>
  <c r="F69" i="27"/>
  <c r="B69" i="27"/>
  <c r="B13" i="27"/>
  <c r="G54" i="17"/>
  <c r="F23" i="38"/>
  <c r="E51" i="17" s="1"/>
  <c r="F8" i="38"/>
  <c r="E13" i="42" s="1"/>
  <c r="D8" i="38"/>
  <c r="E8" i="38"/>
  <c r="E12" i="42" s="1"/>
  <c r="E23" i="38"/>
  <c r="E50" i="17" s="1"/>
  <c r="G23" i="38"/>
  <c r="E52" i="17" s="1"/>
  <c r="H23" i="38"/>
  <c r="E53" i="17" s="1"/>
  <c r="G8" i="38"/>
  <c r="E14" i="42" s="1"/>
  <c r="D23" i="38"/>
  <c r="E49" i="17" s="1"/>
  <c r="H8" i="38"/>
  <c r="E15" i="42" s="1"/>
  <c r="B5" i="49"/>
  <c r="B24" i="37"/>
  <c r="E5" i="17"/>
  <c r="E44" i="17" s="1"/>
  <c r="A17" i="43"/>
  <c r="C73" i="14"/>
  <c r="B5" i="28"/>
  <c r="E33" i="19"/>
  <c r="E34" i="17"/>
  <c r="E73" i="18"/>
  <c r="E72" i="18" s="1"/>
  <c r="E74" i="19"/>
  <c r="E74" i="17"/>
  <c r="D36" i="3" s="1"/>
  <c r="E74" i="20"/>
  <c r="E33" i="21"/>
  <c r="F39" i="27" s="1"/>
  <c r="E74" i="16"/>
  <c r="F30" i="27" s="1"/>
  <c r="E59" i="16"/>
  <c r="E74" i="21"/>
  <c r="E33" i="16"/>
  <c r="E32" i="16" s="1"/>
  <c r="B30" i="19"/>
  <c r="H19" i="19"/>
  <c r="H24" i="19"/>
  <c r="H65" i="17"/>
  <c r="H59" i="17"/>
  <c r="H23" i="17"/>
  <c r="H61" i="17"/>
  <c r="B71" i="17"/>
  <c r="H64" i="17"/>
  <c r="B36" i="14"/>
  <c r="G14" i="14"/>
  <c r="C41" i="13"/>
  <c r="B23" i="27"/>
  <c r="B72" i="13"/>
  <c r="C34" i="10"/>
  <c r="F80" i="10"/>
  <c r="D28" i="3"/>
  <c r="K17" i="48"/>
  <c r="F18" i="48"/>
  <c r="H29" i="46"/>
  <c r="H30" i="46" s="1"/>
  <c r="J29" i="46"/>
  <c r="J30" i="46" s="1"/>
  <c r="K17" i="46"/>
  <c r="D56" i="27"/>
  <c r="B54" i="27"/>
  <c r="C56" i="36"/>
  <c r="B52" i="27"/>
  <c r="C43" i="36"/>
  <c r="C14" i="36"/>
  <c r="E56" i="36"/>
  <c r="B51" i="27"/>
  <c r="C26" i="36"/>
  <c r="B29" i="26"/>
  <c r="B54" i="26"/>
  <c r="C60" i="26"/>
  <c r="C26" i="26"/>
  <c r="C14" i="25"/>
  <c r="D55" i="24"/>
  <c r="D26" i="24"/>
  <c r="D45" i="27"/>
  <c r="E26" i="24"/>
  <c r="C60" i="23"/>
  <c r="B44" i="27"/>
  <c r="E29" i="23"/>
  <c r="E26" i="23"/>
  <c r="D26" i="23"/>
  <c r="C45" i="23"/>
  <c r="C58" i="23" s="1"/>
  <c r="C55" i="22"/>
  <c r="B35" i="21"/>
  <c r="H62" i="21"/>
  <c r="C23" i="21"/>
  <c r="D5" i="21"/>
  <c r="D43" i="21" s="1"/>
  <c r="G9" i="21"/>
  <c r="B76" i="19"/>
  <c r="H59" i="19"/>
  <c r="G14" i="19"/>
  <c r="G10" i="19"/>
  <c r="B35" i="19"/>
  <c r="H21" i="19"/>
  <c r="C5" i="19"/>
  <c r="C43" i="19" s="1"/>
  <c r="H60" i="19"/>
  <c r="H62" i="19"/>
  <c r="B71" i="19"/>
  <c r="G50" i="19"/>
  <c r="G17" i="19"/>
  <c r="H64" i="19"/>
  <c r="H65" i="19"/>
  <c r="H25" i="19"/>
  <c r="E5" i="19"/>
  <c r="E43" i="19" s="1"/>
  <c r="G57" i="19"/>
  <c r="H20" i="19"/>
  <c r="F38" i="18"/>
  <c r="H59" i="18"/>
  <c r="C40" i="18"/>
  <c r="G50" i="18"/>
  <c r="D37" i="3"/>
  <c r="B30" i="27"/>
  <c r="D28" i="27"/>
  <c r="H60" i="14"/>
  <c r="H61" i="14"/>
  <c r="G17" i="14"/>
  <c r="E5" i="14"/>
  <c r="E44" i="14" s="1"/>
  <c r="D33" i="13"/>
  <c r="H24" i="10"/>
  <c r="B32" i="10"/>
  <c r="H65" i="10"/>
  <c r="D5" i="10"/>
  <c r="D45" i="10" s="1"/>
  <c r="H19" i="10"/>
  <c r="C27" i="44"/>
  <c r="C36" i="44" s="1"/>
  <c r="B49" i="42"/>
  <c r="C63" i="15"/>
  <c r="D5" i="38"/>
  <c r="B5" i="38"/>
  <c r="D14" i="26"/>
  <c r="E5" i="49"/>
  <c r="B3" i="49"/>
  <c r="C5" i="49"/>
  <c r="E14" i="37"/>
  <c r="D14" i="36"/>
  <c r="F48" i="27"/>
  <c r="E55" i="25"/>
  <c r="E58" i="25"/>
  <c r="D30" i="35"/>
  <c r="D54" i="27"/>
  <c r="D56" i="35"/>
  <c r="A8" i="43"/>
  <c r="D5" i="16"/>
  <c r="D43" i="16" s="1"/>
  <c r="C6" i="42"/>
  <c r="H38" i="42"/>
  <c r="H18" i="20"/>
  <c r="H61" i="12"/>
  <c r="E5" i="20"/>
  <c r="E45" i="20" s="1"/>
  <c r="C42" i="12"/>
  <c r="B35" i="20"/>
  <c r="B24" i="25"/>
  <c r="H60" i="20"/>
  <c r="G10" i="12"/>
  <c r="H24" i="12"/>
  <c r="B30" i="20"/>
  <c r="D28" i="42"/>
  <c r="B54" i="36"/>
  <c r="D50" i="3"/>
  <c r="E56" i="35"/>
  <c r="E59" i="35"/>
  <c r="F54" i="27"/>
  <c r="C45" i="26"/>
  <c r="C58" i="26" s="1"/>
  <c r="C43" i="26"/>
  <c r="C55" i="24"/>
  <c r="C59" i="24"/>
  <c r="E29" i="36"/>
  <c r="F51" i="27"/>
  <c r="E26" i="36"/>
  <c r="B24" i="22"/>
  <c r="B53" i="22"/>
  <c r="C57" i="24"/>
  <c r="D36" i="24" s="1"/>
  <c r="D26" i="37"/>
  <c r="D55" i="27"/>
  <c r="C14" i="24"/>
  <c r="C16" i="24"/>
  <c r="C28" i="24" s="1"/>
  <c r="C31" i="24" s="1"/>
  <c r="D52" i="27"/>
  <c r="D56" i="36"/>
  <c r="E58" i="22"/>
  <c r="B47" i="27"/>
  <c r="C26" i="25"/>
  <c r="C30" i="25"/>
  <c r="C56" i="35"/>
  <c r="C60" i="35"/>
  <c r="C62" i="24"/>
  <c r="B59" i="37"/>
  <c r="J65" i="27"/>
  <c r="J54" i="27"/>
  <c r="D13" i="27"/>
  <c r="G14" i="27"/>
  <c r="A9" i="43"/>
  <c r="B32" i="43"/>
  <c r="A10" i="3"/>
  <c r="J50" i="27"/>
  <c r="J63" i="27"/>
  <c r="A10" i="27"/>
  <c r="J62" i="27"/>
  <c r="J57" i="27"/>
  <c r="J56" i="27"/>
  <c r="J64" i="27"/>
  <c r="B74" i="27"/>
  <c r="H20" i="21"/>
  <c r="G58" i="21"/>
  <c r="B39" i="27"/>
  <c r="H22" i="18"/>
  <c r="B75" i="18"/>
  <c r="C80" i="18"/>
  <c r="H65" i="18"/>
  <c r="H64" i="18"/>
  <c r="E5" i="18"/>
  <c r="E43" i="18" s="1"/>
  <c r="G54" i="18"/>
  <c r="B30" i="18"/>
  <c r="H62" i="18"/>
  <c r="G57" i="18"/>
  <c r="G15" i="18"/>
  <c r="C5" i="18"/>
  <c r="C43" i="18" s="1"/>
  <c r="H60" i="18"/>
  <c r="H23" i="18"/>
  <c r="H20" i="18"/>
  <c r="D5" i="18"/>
  <c r="D43" i="18" s="1"/>
  <c r="H61" i="18"/>
  <c r="B70" i="18"/>
  <c r="B35" i="18"/>
  <c r="H66" i="16"/>
  <c r="C63" i="16"/>
  <c r="C75" i="16" s="1"/>
  <c r="C100" i="16" s="1"/>
  <c r="C5" i="16"/>
  <c r="C43" i="16" s="1"/>
  <c r="C23" i="15"/>
  <c r="B26" i="27"/>
  <c r="G50" i="14"/>
  <c r="H20" i="14"/>
  <c r="G10" i="14"/>
  <c r="H64" i="14"/>
  <c r="C5" i="14"/>
  <c r="C44" i="14" s="1"/>
  <c r="H25" i="14"/>
  <c r="H65" i="14"/>
  <c r="C41" i="14"/>
  <c r="C81" i="14"/>
  <c r="D5" i="14"/>
  <c r="D44" i="14" s="1"/>
  <c r="H22" i="14"/>
  <c r="G54" i="14"/>
  <c r="H19" i="14"/>
  <c r="B71" i="14"/>
  <c r="C65" i="12"/>
  <c r="C81" i="10"/>
  <c r="H60" i="10"/>
  <c r="G14" i="10"/>
  <c r="C42" i="10"/>
  <c r="H64" i="10"/>
  <c r="G10" i="10"/>
  <c r="G17" i="10"/>
  <c r="B71" i="10"/>
  <c r="H22" i="10"/>
  <c r="H61" i="10"/>
  <c r="C5" i="10"/>
  <c r="C45" i="10" s="1"/>
  <c r="H20" i="10"/>
  <c r="H59" i="10"/>
  <c r="B76" i="10"/>
  <c r="G57" i="10"/>
  <c r="H21" i="10"/>
  <c r="G54" i="10"/>
  <c r="H25" i="10"/>
  <c r="B37" i="10"/>
  <c r="H62" i="10"/>
  <c r="G50" i="10"/>
  <c r="E5" i="10"/>
  <c r="E45" i="10" s="1"/>
  <c r="H19" i="17"/>
  <c r="B31" i="17"/>
  <c r="C5" i="17"/>
  <c r="C44" i="17" s="1"/>
  <c r="H20" i="17"/>
  <c r="B29" i="37"/>
  <c r="C41" i="17"/>
  <c r="G57" i="17"/>
  <c r="G16" i="17"/>
  <c r="H21" i="17"/>
  <c r="G9" i="17"/>
  <c r="H18" i="17"/>
  <c r="B76" i="17"/>
  <c r="H60" i="17"/>
  <c r="D5" i="17"/>
  <c r="D44" i="17" s="1"/>
  <c r="C81" i="17"/>
  <c r="C14" i="23" l="1"/>
  <c r="D55" i="22"/>
  <c r="D59" i="22"/>
  <c r="D30" i="22"/>
  <c r="C30" i="22"/>
  <c r="H60" i="16"/>
  <c r="G55" i="16"/>
  <c r="H18" i="21"/>
  <c r="H23" i="21"/>
  <c r="D5" i="12"/>
  <c r="D45" i="12" s="1"/>
  <c r="H65" i="16"/>
  <c r="G52" i="12"/>
  <c r="H24" i="21"/>
  <c r="H19" i="21"/>
  <c r="G13" i="21"/>
  <c r="G16" i="16"/>
  <c r="H61" i="16"/>
  <c r="H21" i="21"/>
  <c r="C40" i="21"/>
  <c r="B76" i="21"/>
  <c r="B73" i="12"/>
  <c r="C83" i="12"/>
  <c r="H22" i="12"/>
  <c r="B24" i="35"/>
  <c r="B54" i="35"/>
  <c r="H63" i="21"/>
  <c r="H61" i="21"/>
  <c r="H65" i="21"/>
  <c r="G55" i="21"/>
  <c r="H62" i="12"/>
  <c r="B37" i="12"/>
  <c r="B59" i="35"/>
  <c r="G9" i="16"/>
  <c r="C5" i="21"/>
  <c r="C43" i="21" s="1"/>
  <c r="G16" i="21"/>
  <c r="G51" i="21"/>
  <c r="D37" i="27"/>
  <c r="C98" i="18"/>
  <c r="C72" i="18"/>
  <c r="F33" i="27"/>
  <c r="E37" i="18"/>
  <c r="D32" i="18"/>
  <c r="D99" i="16"/>
  <c r="C23" i="16"/>
  <c r="C34" i="16" s="1"/>
  <c r="F80" i="15"/>
  <c r="C98" i="15"/>
  <c r="C62" i="14"/>
  <c r="D74" i="13"/>
  <c r="D100" i="13"/>
  <c r="D23" i="27"/>
  <c r="C77" i="12"/>
  <c r="D35" i="44"/>
  <c r="C66" i="8"/>
  <c r="C29" i="8"/>
  <c r="C37" i="8" s="1"/>
  <c r="D76" i="42"/>
  <c r="C96" i="18"/>
  <c r="M45" i="27"/>
  <c r="E34" i="10"/>
  <c r="E39" i="10"/>
  <c r="D23" i="3"/>
  <c r="D34" i="10"/>
  <c r="G23" i="13"/>
  <c r="F80" i="13"/>
  <c r="F24" i="27"/>
  <c r="E74" i="13"/>
  <c r="E38" i="14"/>
  <c r="D29" i="3"/>
  <c r="D97" i="16"/>
  <c r="G24" i="19"/>
  <c r="C32" i="19"/>
  <c r="E37" i="20"/>
  <c r="E35" i="20"/>
  <c r="D96" i="20"/>
  <c r="E32" i="21"/>
  <c r="G23" i="21"/>
  <c r="E5" i="4"/>
  <c r="B40" i="4"/>
  <c r="D4" i="4"/>
  <c r="B29" i="24"/>
  <c r="H23" i="16"/>
  <c r="H19" i="18"/>
  <c r="B76" i="16"/>
  <c r="G34" i="42"/>
  <c r="H24" i="14"/>
  <c r="B30" i="16"/>
  <c r="G8" i="18"/>
  <c r="B30" i="21"/>
  <c r="B53" i="25"/>
  <c r="H39" i="42"/>
  <c r="H21" i="16"/>
  <c r="D5" i="19"/>
  <c r="D43" i="19" s="1"/>
  <c r="E5" i="21"/>
  <c r="E43" i="21" s="1"/>
  <c r="B76" i="14"/>
  <c r="H62" i="16"/>
  <c r="B58" i="24"/>
  <c r="H19" i="16"/>
  <c r="B54" i="42"/>
  <c r="H20" i="16"/>
  <c r="H42" i="42"/>
  <c r="A31" i="43"/>
  <c r="G27" i="42"/>
  <c r="A10" i="43"/>
  <c r="H41" i="42"/>
  <c r="H21" i="14"/>
  <c r="C81" i="16"/>
  <c r="H18" i="18"/>
  <c r="B71" i="21"/>
  <c r="H67" i="12"/>
  <c r="H36" i="42"/>
  <c r="B29" i="23"/>
  <c r="H62" i="14"/>
  <c r="H22" i="19"/>
  <c r="C81" i="21"/>
  <c r="H61" i="19"/>
  <c r="G58" i="16"/>
  <c r="B59" i="23"/>
  <c r="H63" i="16"/>
  <c r="B29" i="22"/>
  <c r="A27" i="43"/>
  <c r="C59" i="42"/>
  <c r="B24" i="23"/>
  <c r="C32" i="43"/>
  <c r="G51" i="16"/>
  <c r="C40" i="16"/>
  <c r="B53" i="24"/>
  <c r="B56" i="44"/>
  <c r="B71" i="16"/>
  <c r="H59" i="14"/>
  <c r="H24" i="16"/>
  <c r="G12" i="18"/>
  <c r="B58" i="25"/>
  <c r="E6" i="42"/>
  <c r="E5" i="16"/>
  <c r="E43" i="16" s="1"/>
  <c r="A34" i="49"/>
  <c r="E35" i="44"/>
  <c r="G54" i="19"/>
  <c r="H66" i="21"/>
  <c r="B35" i="16"/>
  <c r="A7" i="43"/>
  <c r="G31" i="42"/>
  <c r="H18" i="16"/>
  <c r="D5" i="49"/>
  <c r="E54" i="42"/>
  <c r="F55" i="42"/>
  <c r="E56" i="42"/>
  <c r="E51" i="42"/>
  <c r="D17" i="27"/>
  <c r="C22" i="10"/>
  <c r="B19" i="27"/>
  <c r="C36" i="10"/>
  <c r="C98" i="10" s="1"/>
  <c r="F19" i="27"/>
  <c r="F38" i="10"/>
  <c r="C64" i="10"/>
  <c r="C75" i="10" s="1"/>
  <c r="C99" i="10"/>
  <c r="B20" i="27"/>
  <c r="D24" i="3"/>
  <c r="E78" i="10"/>
  <c r="F20" i="27"/>
  <c r="E79" i="13"/>
  <c r="G65" i="13"/>
  <c r="B24" i="27"/>
  <c r="C33" i="13"/>
  <c r="C35" i="13"/>
  <c r="C99" i="13" s="1"/>
  <c r="C98" i="13"/>
  <c r="F80" i="14"/>
  <c r="G24" i="14"/>
  <c r="B25" i="27"/>
  <c r="B28" i="27"/>
  <c r="C34" i="15"/>
  <c r="C97" i="15" s="1"/>
  <c r="B27" i="27"/>
  <c r="G22" i="15"/>
  <c r="C32" i="15"/>
  <c r="D30" i="27"/>
  <c r="D73" i="16"/>
  <c r="C73" i="16"/>
  <c r="B78" i="16"/>
  <c r="E37" i="16"/>
  <c r="D33" i="3"/>
  <c r="F38" i="16"/>
  <c r="D73" i="17"/>
  <c r="B32" i="27"/>
  <c r="G64" i="17"/>
  <c r="C23" i="18"/>
  <c r="C34" i="18" s="1"/>
  <c r="B33" i="27"/>
  <c r="C32" i="18"/>
  <c r="C74" i="18"/>
  <c r="D73" i="19"/>
  <c r="D40" i="3"/>
  <c r="C61" i="19"/>
  <c r="C96" i="20"/>
  <c r="D73" i="20"/>
  <c r="D42" i="3"/>
  <c r="C61" i="20"/>
  <c r="D32" i="20"/>
  <c r="C34" i="20"/>
  <c r="C95" i="20" s="1"/>
  <c r="C34" i="21"/>
  <c r="D6" i="21" s="1"/>
  <c r="D23" i="21" s="1"/>
  <c r="D34" i="21" s="1"/>
  <c r="D73" i="21"/>
  <c r="C99" i="21"/>
  <c r="B78" i="21" s="1"/>
  <c r="G65" i="21"/>
  <c r="D43" i="3"/>
  <c r="D32" i="21"/>
  <c r="D39" i="27"/>
  <c r="C62" i="25"/>
  <c r="D36" i="25"/>
  <c r="D45" i="25" s="1"/>
  <c r="D57" i="25" s="1"/>
  <c r="D62" i="25" s="1"/>
  <c r="D7" i="26"/>
  <c r="D16" i="26" s="1"/>
  <c r="C31" i="26"/>
  <c r="B60" i="27"/>
  <c r="K30" i="48"/>
  <c r="K18" i="46"/>
  <c r="B29" i="46"/>
  <c r="B30" i="46" s="1"/>
  <c r="B59" i="27"/>
  <c r="B60" i="73"/>
  <c r="C21" i="20"/>
  <c r="C5" i="15"/>
  <c r="C43" i="15" s="1"/>
  <c r="G64" i="19"/>
  <c r="F44" i="27"/>
  <c r="E37" i="21"/>
  <c r="F63" i="27"/>
  <c r="D30" i="24"/>
  <c r="E59" i="36"/>
  <c r="B50" i="27"/>
  <c r="C59" i="25"/>
  <c r="D59" i="24"/>
  <c r="H74" i="21"/>
  <c r="H73" i="21"/>
  <c r="H71" i="21"/>
  <c r="H70" i="21"/>
  <c r="H32" i="21"/>
  <c r="H31" i="21"/>
  <c r="H29" i="21"/>
  <c r="H28" i="21"/>
  <c r="G57" i="14"/>
  <c r="H73" i="14"/>
  <c r="H72" i="14"/>
  <c r="H70" i="14"/>
  <c r="H29" i="14"/>
  <c r="H69" i="14"/>
  <c r="H33" i="14"/>
  <c r="H32" i="14"/>
  <c r="H30" i="14"/>
  <c r="C75" i="19"/>
  <c r="D44" i="19" s="1"/>
  <c r="D63" i="19" s="1"/>
  <c r="D75" i="19" s="1"/>
  <c r="D100" i="19" s="1"/>
  <c r="C99" i="14"/>
  <c r="C34" i="19"/>
  <c r="D6" i="19" s="1"/>
  <c r="D23" i="19" s="1"/>
  <c r="D34" i="19" s="1"/>
  <c r="C94" i="20"/>
  <c r="D38" i="27"/>
  <c r="E26" i="35"/>
  <c r="G57" i="15"/>
  <c r="C73" i="19"/>
  <c r="D49" i="3"/>
  <c r="G66" i="12"/>
  <c r="E26" i="25"/>
  <c r="A9" i="3"/>
  <c r="B76" i="3"/>
  <c r="F62" i="3"/>
  <c r="E13" i="3"/>
  <c r="F73" i="27"/>
  <c r="F77" i="73"/>
  <c r="D63" i="27"/>
  <c r="D31" i="49"/>
  <c r="H73" i="19"/>
  <c r="H72" i="19"/>
  <c r="H70" i="19"/>
  <c r="H69" i="19"/>
  <c r="H33" i="19"/>
  <c r="H32" i="19"/>
  <c r="H29" i="19"/>
  <c r="H30" i="19"/>
  <c r="H18" i="13"/>
  <c r="H74" i="13"/>
  <c r="H73" i="13"/>
  <c r="H28" i="13"/>
  <c r="H71" i="13"/>
  <c r="H70" i="13"/>
  <c r="H32" i="13"/>
  <c r="H31" i="13"/>
  <c r="H29" i="13"/>
  <c r="E56" i="23"/>
  <c r="F44" i="73"/>
  <c r="F80" i="19"/>
  <c r="D51" i="3"/>
  <c r="E29" i="35"/>
  <c r="C75" i="12"/>
  <c r="D97" i="19"/>
  <c r="E26" i="26"/>
  <c r="F70" i="27"/>
  <c r="F74" i="73"/>
  <c r="B63" i="27"/>
  <c r="D65" i="27"/>
  <c r="K28" i="46"/>
  <c r="K30" i="46" s="1"/>
  <c r="F45" i="27"/>
  <c r="C30" i="24"/>
  <c r="D44" i="27"/>
  <c r="H73" i="18"/>
  <c r="H72" i="18"/>
  <c r="H27" i="18"/>
  <c r="H70" i="18"/>
  <c r="H69" i="18"/>
  <c r="H31" i="18"/>
  <c r="H30" i="18"/>
  <c r="H28" i="18"/>
  <c r="H75" i="12"/>
  <c r="H74" i="12"/>
  <c r="H72" i="12"/>
  <c r="H71" i="12"/>
  <c r="H29" i="12"/>
  <c r="H33" i="12"/>
  <c r="H32" i="12"/>
  <c r="H30" i="12"/>
  <c r="H55" i="8"/>
  <c r="H59" i="8"/>
  <c r="H58" i="8"/>
  <c r="H56" i="8"/>
  <c r="D24" i="27"/>
  <c r="D99" i="14"/>
  <c r="D98" i="18"/>
  <c r="B77" i="18" s="1"/>
  <c r="C26" i="23"/>
  <c r="D5" i="15"/>
  <c r="D43" i="15" s="1"/>
  <c r="H31" i="15"/>
  <c r="H69" i="15"/>
  <c r="H30" i="15"/>
  <c r="H28" i="15"/>
  <c r="H27" i="15"/>
  <c r="H73" i="15"/>
  <c r="H72" i="15"/>
  <c r="H70" i="15"/>
  <c r="H17" i="15"/>
  <c r="E76" i="19"/>
  <c r="G65" i="20"/>
  <c r="C75" i="20"/>
  <c r="D46" i="20" s="1"/>
  <c r="D63" i="20" s="1"/>
  <c r="D75" i="20" s="1"/>
  <c r="B57" i="9"/>
  <c r="B289" i="9" s="1"/>
  <c r="F55" i="27"/>
  <c r="E75" i="18"/>
  <c r="F49" i="27"/>
  <c r="C287" i="9"/>
  <c r="D26" i="35"/>
  <c r="D54" i="73"/>
  <c r="D49" i="27"/>
  <c r="D49" i="73"/>
  <c r="D60" i="23"/>
  <c r="H24" i="17"/>
  <c r="H73" i="17"/>
  <c r="H72" i="17"/>
  <c r="H70" i="17"/>
  <c r="H28" i="17"/>
  <c r="H69" i="17"/>
  <c r="H33" i="17"/>
  <c r="H32" i="17"/>
  <c r="H30" i="17"/>
  <c r="H73" i="10"/>
  <c r="H72" i="10"/>
  <c r="H70" i="10"/>
  <c r="H69" i="10"/>
  <c r="H33" i="10"/>
  <c r="H32" i="10"/>
  <c r="H30" i="10"/>
  <c r="H29" i="10"/>
  <c r="F47" i="27"/>
  <c r="F47" i="73"/>
  <c r="D44" i="16"/>
  <c r="D63" i="16" s="1"/>
  <c r="D75" i="16" s="1"/>
  <c r="D100" i="16" s="1"/>
  <c r="B79" i="16" s="1"/>
  <c r="B17" i="27"/>
  <c r="C97" i="17"/>
  <c r="K28" i="45"/>
  <c r="D36" i="36"/>
  <c r="D45" i="36" s="1"/>
  <c r="D58" i="36" s="1"/>
  <c r="D63" i="36" s="1"/>
  <c r="E29" i="37"/>
  <c r="F34" i="27"/>
  <c r="C33" i="17"/>
  <c r="E29" i="26"/>
  <c r="C53" i="42"/>
  <c r="D7" i="42" s="1"/>
  <c r="D30" i="42" s="1"/>
  <c r="D53" i="42" s="1"/>
  <c r="K5" i="29"/>
  <c r="I5" i="29"/>
  <c r="F5" i="29"/>
  <c r="D240" i="9"/>
  <c r="D4" i="9"/>
  <c r="C4" i="9"/>
  <c r="B4" i="9"/>
  <c r="D4" i="11"/>
  <c r="C4" i="11"/>
  <c r="B4" i="11"/>
  <c r="F72" i="27"/>
  <c r="F76" i="73"/>
  <c r="B45" i="27"/>
  <c r="F29" i="45"/>
  <c r="F30" i="45" s="1"/>
  <c r="H50" i="42"/>
  <c r="H49" i="42"/>
  <c r="H47" i="42"/>
  <c r="H46" i="42"/>
  <c r="D98" i="13"/>
  <c r="D96" i="15"/>
  <c r="H74" i="20"/>
  <c r="H73" i="20"/>
  <c r="H71" i="20"/>
  <c r="H70" i="20"/>
  <c r="H28" i="20"/>
  <c r="H32" i="20"/>
  <c r="H31" i="20"/>
  <c r="H29" i="20"/>
  <c r="H9" i="30"/>
  <c r="F9" i="30"/>
  <c r="F37" i="29"/>
  <c r="F75" i="73"/>
  <c r="E78" i="19"/>
  <c r="C43" i="25"/>
  <c r="G9" i="30"/>
  <c r="C26" i="22"/>
  <c r="E26" i="37"/>
  <c r="F71" i="27"/>
  <c r="H23" i="15"/>
  <c r="E77" i="18"/>
  <c r="D32" i="19"/>
  <c r="C40" i="15"/>
  <c r="C30" i="36"/>
  <c r="B51" i="73"/>
  <c r="D26" i="22"/>
  <c r="D60" i="35"/>
  <c r="D55" i="73"/>
  <c r="C60" i="36"/>
  <c r="B46" i="27"/>
  <c r="H74" i="16"/>
  <c r="H73" i="16"/>
  <c r="H71" i="16"/>
  <c r="H70" i="16"/>
  <c r="H32" i="16"/>
  <c r="H28" i="16"/>
  <c r="H31" i="16"/>
  <c r="H29" i="16"/>
  <c r="C96" i="15"/>
  <c r="E73" i="19"/>
  <c r="E55" i="22"/>
  <c r="C101" i="12"/>
  <c r="G50" i="15"/>
  <c r="D38" i="3"/>
  <c r="F53" i="27"/>
  <c r="B49" i="27"/>
  <c r="B49" i="73"/>
  <c r="D30" i="23"/>
  <c r="H61" i="15"/>
  <c r="E35" i="21"/>
  <c r="E76" i="20"/>
  <c r="F80" i="20"/>
  <c r="E37" i="19"/>
  <c r="E35" i="19"/>
  <c r="F38" i="19"/>
  <c r="F35" i="27"/>
  <c r="E32" i="19"/>
  <c r="D39" i="3"/>
  <c r="E35" i="16"/>
  <c r="E34" i="12"/>
  <c r="J6" i="28"/>
  <c r="G6" i="28"/>
  <c r="E78" i="20"/>
  <c r="F38" i="27"/>
  <c r="E73" i="20"/>
  <c r="F81" i="17"/>
  <c r="D34" i="3"/>
  <c r="F80" i="16"/>
  <c r="E76" i="16"/>
  <c r="D32" i="3"/>
  <c r="E77" i="15"/>
  <c r="E76" i="14"/>
  <c r="E73" i="14"/>
  <c r="D30" i="3"/>
  <c r="F26" i="27"/>
  <c r="E78" i="14"/>
  <c r="F38" i="14"/>
  <c r="F25" i="27"/>
  <c r="E33" i="14"/>
  <c r="E77" i="13"/>
  <c r="E38" i="13"/>
  <c r="E36" i="13"/>
  <c r="E33" i="13"/>
  <c r="F23" i="27"/>
  <c r="F38" i="13"/>
  <c r="D27" i="3"/>
  <c r="E37" i="10"/>
  <c r="G71" i="19"/>
  <c r="G29" i="15"/>
  <c r="G31" i="10"/>
  <c r="G29" i="18"/>
  <c r="G71" i="14"/>
  <c r="G30" i="20"/>
  <c r="G72" i="20"/>
  <c r="G31" i="19"/>
  <c r="G57" i="8"/>
  <c r="G71" i="18"/>
  <c r="G31" i="14"/>
  <c r="G48" i="42"/>
  <c r="G72" i="21"/>
  <c r="G71" i="17"/>
  <c r="G72" i="13"/>
  <c r="G30" i="21"/>
  <c r="G31" i="17"/>
  <c r="G30" i="13"/>
  <c r="G72" i="16"/>
  <c r="G73" i="12"/>
  <c r="D9" i="72"/>
  <c r="G30" i="16"/>
  <c r="G31" i="12"/>
  <c r="G71" i="15"/>
  <c r="G71" i="10"/>
  <c r="D5" i="8"/>
  <c r="B61" i="8"/>
  <c r="E5" i="8"/>
  <c r="E6" i="23" s="1"/>
  <c r="E35" i="23" s="1"/>
  <c r="C5" i="8"/>
  <c r="B176" i="9"/>
  <c r="B293" i="9" s="1"/>
  <c r="D57" i="9"/>
  <c r="D289" i="9" s="1"/>
  <c r="C237" i="9"/>
  <c r="C295" i="9" s="1"/>
  <c r="B287" i="9"/>
  <c r="B116" i="9"/>
  <c r="B291" i="9" s="1"/>
  <c r="D287" i="9"/>
  <c r="D237" i="9"/>
  <c r="D295" i="9" s="1"/>
  <c r="B237" i="9"/>
  <c r="B295" i="9" s="1"/>
  <c r="D51" i="42"/>
  <c r="C51" i="42"/>
  <c r="F17" i="27"/>
  <c r="D43" i="11"/>
  <c r="C43" i="11"/>
  <c r="B43" i="11"/>
  <c r="F57" i="44"/>
  <c r="C97" i="10"/>
  <c r="D73" i="10"/>
  <c r="G64" i="10"/>
  <c r="D20" i="27"/>
  <c r="G24" i="10"/>
  <c r="D99" i="10"/>
  <c r="E76" i="10"/>
  <c r="D21" i="27"/>
  <c r="D25" i="3"/>
  <c r="E37" i="12"/>
  <c r="E39" i="12"/>
  <c r="C22" i="12"/>
  <c r="B22" i="27"/>
  <c r="C34" i="12"/>
  <c r="H66" i="12"/>
  <c r="G59" i="12"/>
  <c r="G17" i="12"/>
  <c r="F21" i="27"/>
  <c r="C99" i="12"/>
  <c r="D22" i="27"/>
  <c r="B21" i="27"/>
  <c r="H21" i="12"/>
  <c r="H25" i="12"/>
  <c r="E5" i="12"/>
  <c r="E45" i="12" s="1"/>
  <c r="H64" i="12"/>
  <c r="C5" i="12"/>
  <c r="C45" i="12" s="1"/>
  <c r="H19" i="12"/>
  <c r="B78" i="12"/>
  <c r="F80" i="12"/>
  <c r="D99" i="12"/>
  <c r="D75" i="12"/>
  <c r="G56" i="12"/>
  <c r="H20" i="12"/>
  <c r="G24" i="12"/>
  <c r="D101" i="12"/>
  <c r="B32" i="12"/>
  <c r="H63" i="12"/>
  <c r="C21" i="13"/>
  <c r="H21" i="13"/>
  <c r="C100" i="13"/>
  <c r="C82" i="13"/>
  <c r="H23" i="13"/>
  <c r="B36" i="13"/>
  <c r="G9" i="13"/>
  <c r="G55" i="13"/>
  <c r="H65" i="13"/>
  <c r="H61" i="13"/>
  <c r="G58" i="13"/>
  <c r="H19" i="13"/>
  <c r="G16" i="13"/>
  <c r="H63" i="13"/>
  <c r="C74" i="13"/>
  <c r="D5" i="13"/>
  <c r="D44" i="13" s="1"/>
  <c r="G51" i="13"/>
  <c r="C5" i="13"/>
  <c r="C44" i="13" s="1"/>
  <c r="C75" i="14"/>
  <c r="D45" i="14" s="1"/>
  <c r="D64" i="14" s="1"/>
  <c r="D75" i="14" s="1"/>
  <c r="C97" i="14"/>
  <c r="E36" i="14"/>
  <c r="D26" i="27"/>
  <c r="G64" i="14"/>
  <c r="D31" i="3"/>
  <c r="F38" i="15"/>
  <c r="C74" i="15"/>
  <c r="C99" i="15" s="1"/>
  <c r="B35" i="15"/>
  <c r="H60" i="15"/>
  <c r="B70" i="15"/>
  <c r="H18" i="15"/>
  <c r="H20" i="15"/>
  <c r="B30" i="15"/>
  <c r="G15" i="15"/>
  <c r="E35" i="15"/>
  <c r="H22" i="15"/>
  <c r="C72" i="15"/>
  <c r="D27" i="27"/>
  <c r="C80" i="15"/>
  <c r="E37" i="15"/>
  <c r="G54" i="15"/>
  <c r="H65" i="15"/>
  <c r="G8" i="15"/>
  <c r="G64" i="15"/>
  <c r="H59" i="15"/>
  <c r="F27" i="27"/>
  <c r="E5" i="15"/>
  <c r="E43" i="15" s="1"/>
  <c r="H64" i="15"/>
  <c r="E32" i="15"/>
  <c r="B75" i="15"/>
  <c r="H19" i="15"/>
  <c r="G12" i="15"/>
  <c r="F29" i="27"/>
  <c r="E78" i="16"/>
  <c r="G65" i="16"/>
  <c r="D32" i="16"/>
  <c r="C75" i="17"/>
  <c r="C100" i="17" s="1"/>
  <c r="C99" i="17"/>
  <c r="C62" i="17"/>
  <c r="E73" i="17"/>
  <c r="C73" i="17"/>
  <c r="C23" i="17"/>
  <c r="C35" i="17" s="1"/>
  <c r="C98" i="17" s="1"/>
  <c r="E76" i="17"/>
  <c r="D99" i="17"/>
  <c r="F32" i="27"/>
  <c r="G23" i="17"/>
  <c r="E78" i="17"/>
  <c r="D96" i="18"/>
  <c r="B37" i="18" s="1"/>
  <c r="F80" i="18"/>
  <c r="D34" i="27"/>
  <c r="C61" i="18"/>
  <c r="B34" i="27"/>
  <c r="G22" i="18"/>
  <c r="B35" i="27"/>
  <c r="C21" i="19"/>
  <c r="F36" i="27"/>
  <c r="D99" i="19"/>
  <c r="C81" i="19"/>
  <c r="D35" i="27"/>
  <c r="C99" i="19"/>
  <c r="B37" i="27"/>
  <c r="D94" i="20"/>
  <c r="C32" i="20"/>
  <c r="B38" i="27"/>
  <c r="D97" i="21"/>
  <c r="C63" i="21"/>
  <c r="C75" i="21" s="1"/>
  <c r="C73" i="21"/>
  <c r="F38" i="21"/>
  <c r="C97" i="21"/>
  <c r="D5" i="28"/>
  <c r="D74" i="27"/>
  <c r="F49" i="38"/>
  <c r="E62" i="21"/>
  <c r="G61" i="21" s="1"/>
  <c r="C5" i="38"/>
  <c r="A5" i="38"/>
  <c r="E22" i="21"/>
  <c r="G19" i="21" s="1"/>
  <c r="E62" i="19"/>
  <c r="G60" i="19" s="1"/>
  <c r="E62" i="20"/>
  <c r="G61" i="20" s="1"/>
  <c r="E22" i="20"/>
  <c r="G19" i="20" s="1"/>
  <c r="E63" i="17"/>
  <c r="G60" i="17" s="1"/>
  <c r="E5" i="6"/>
  <c r="D5" i="6"/>
  <c r="J37" i="29"/>
  <c r="F74" i="27"/>
  <c r="D7" i="24"/>
  <c r="D16" i="24" s="1"/>
  <c r="D28" i="24" s="1"/>
  <c r="D31" i="24" s="1"/>
  <c r="C31" i="25"/>
  <c r="D36" i="26"/>
  <c r="D45" i="26" s="1"/>
  <c r="D58" i="26" s="1"/>
  <c r="E36" i="26" s="1"/>
  <c r="E45" i="26" s="1"/>
  <c r="E58" i="26" s="1"/>
  <c r="E60" i="26" s="1"/>
  <c r="C63" i="26"/>
  <c r="D7" i="37"/>
  <c r="D16" i="37" s="1"/>
  <c r="D28" i="37" s="1"/>
  <c r="E7" i="37" s="1"/>
  <c r="E16" i="37" s="1"/>
  <c r="E28" i="37" s="1"/>
  <c r="E30" i="37" s="1"/>
  <c r="G13" i="20"/>
  <c r="J49" i="27"/>
  <c r="D119" i="9"/>
  <c r="D6" i="22"/>
  <c r="D35" i="22" s="1"/>
  <c r="H20" i="20"/>
  <c r="G58" i="20"/>
  <c r="C5" i="20"/>
  <c r="C45" i="20" s="1"/>
  <c r="G55" i="20"/>
  <c r="G51" i="20"/>
  <c r="H21" i="20"/>
  <c r="C61" i="44"/>
  <c r="D179" i="9"/>
  <c r="H65" i="20"/>
  <c r="C40" i="20"/>
  <c r="H19" i="20"/>
  <c r="B51" i="44"/>
  <c r="D69" i="27"/>
  <c r="H66" i="20"/>
  <c r="G16" i="20"/>
  <c r="B71" i="20"/>
  <c r="D5" i="20"/>
  <c r="D45" i="20" s="1"/>
  <c r="B76" i="20"/>
  <c r="D5" i="44"/>
  <c r="C81" i="20"/>
  <c r="D61" i="9"/>
  <c r="H62" i="20"/>
  <c r="H23" i="20"/>
  <c r="H24" i="20"/>
  <c r="H63" i="20"/>
  <c r="E5" i="44"/>
  <c r="C5" i="44"/>
  <c r="H61" i="20"/>
  <c r="D46" i="12"/>
  <c r="D65" i="12" s="1"/>
  <c r="D77" i="12" s="1"/>
  <c r="C102" i="12"/>
  <c r="E31" i="49"/>
  <c r="F29" i="48"/>
  <c r="F30" i="48" s="1"/>
  <c r="K18" i="48"/>
  <c r="E53" i="8"/>
  <c r="E59" i="8" s="1"/>
  <c r="C64" i="13"/>
  <c r="C76" i="13" s="1"/>
  <c r="C62" i="13"/>
  <c r="D31" i="27"/>
  <c r="D33" i="17"/>
  <c r="D97" i="17"/>
  <c r="D45" i="24"/>
  <c r="D57" i="24" s="1"/>
  <c r="D63" i="26"/>
  <c r="B29" i="45"/>
  <c r="D31" i="25"/>
  <c r="E7" i="25"/>
  <c r="E16" i="25" s="1"/>
  <c r="E28" i="25" s="1"/>
  <c r="E30" i="25" s="1"/>
  <c r="D7" i="35"/>
  <c r="D16" i="35" s="1"/>
  <c r="D28" i="35" s="1"/>
  <c r="C31" i="35"/>
  <c r="L37" i="29"/>
  <c r="D18" i="45"/>
  <c r="D29" i="45" s="1"/>
  <c r="D30" i="45" s="1"/>
  <c r="K17" i="45"/>
  <c r="K30" i="45" s="1"/>
  <c r="D36" i="23"/>
  <c r="D45" i="23" s="1"/>
  <c r="D58" i="23" s="1"/>
  <c r="C63" i="23"/>
  <c r="D26" i="26"/>
  <c r="D30" i="26"/>
  <c r="C43" i="22"/>
  <c r="C45" i="22"/>
  <c r="C57" i="22" s="1"/>
  <c r="C36" i="8"/>
  <c r="D36" i="8"/>
  <c r="E36" i="8"/>
  <c r="D97" i="14"/>
  <c r="D25" i="27"/>
  <c r="D33" i="14"/>
  <c r="E36" i="25"/>
  <c r="E45" i="25" s="1"/>
  <c r="E57" i="25" s="1"/>
  <c r="E59" i="25" s="1"/>
  <c r="E36" i="36"/>
  <c r="E45" i="36" s="1"/>
  <c r="E58" i="36" s="1"/>
  <c r="E60" i="36" s="1"/>
  <c r="F30" i="46"/>
  <c r="K29" i="46"/>
  <c r="E62" i="18"/>
  <c r="B29" i="36"/>
  <c r="B59" i="36"/>
  <c r="B24" i="36"/>
  <c r="E78" i="21"/>
  <c r="F80" i="21"/>
  <c r="E73" i="21"/>
  <c r="E76" i="21"/>
  <c r="D44" i="3"/>
  <c r="E11" i="42"/>
  <c r="E29" i="42" s="1"/>
  <c r="D7" i="23"/>
  <c r="D16" i="23" s="1"/>
  <c r="D28" i="23" s="1"/>
  <c r="D35" i="3"/>
  <c r="E38" i="17"/>
  <c r="E33" i="17"/>
  <c r="F31" i="27"/>
  <c r="F39" i="17"/>
  <c r="E36" i="17"/>
  <c r="E22" i="18"/>
  <c r="C176" i="9"/>
  <c r="C293" i="9" s="1"/>
  <c r="C61" i="27"/>
  <c r="E75" i="12"/>
  <c r="E78" i="12"/>
  <c r="D26" i="3"/>
  <c r="F22" i="27"/>
  <c r="E80" i="12"/>
  <c r="D41" i="3"/>
  <c r="F37" i="27"/>
  <c r="E32" i="20"/>
  <c r="F38" i="20"/>
  <c r="D28" i="26"/>
  <c r="C45" i="37"/>
  <c r="C58" i="37" s="1"/>
  <c r="C43" i="37"/>
  <c r="C43" i="35"/>
  <c r="C45" i="35"/>
  <c r="C58" i="35" s="1"/>
  <c r="D56" i="26"/>
  <c r="D50" i="27"/>
  <c r="D60" i="26"/>
  <c r="D21" i="21"/>
  <c r="E22" i="19"/>
  <c r="H18" i="47"/>
  <c r="K17" i="47"/>
  <c r="K30" i="47" s="1"/>
  <c r="D30" i="48"/>
  <c r="G23" i="16"/>
  <c r="C97" i="16"/>
  <c r="C32" i="16"/>
  <c r="B29" i="27"/>
  <c r="D98" i="15"/>
  <c r="B77" i="15" s="1"/>
  <c r="D72" i="15"/>
  <c r="C53" i="8"/>
  <c r="C59" i="8" s="1"/>
  <c r="C16" i="22"/>
  <c r="C28" i="22" s="1"/>
  <c r="C14" i="22"/>
  <c r="D59" i="25"/>
  <c r="D55" i="25"/>
  <c r="D48" i="27"/>
  <c r="B56" i="8"/>
  <c r="D26" i="25"/>
  <c r="D47" i="27"/>
  <c r="C56" i="37"/>
  <c r="C60" i="37"/>
  <c r="D116" i="9"/>
  <c r="D291" i="9" s="1"/>
  <c r="D29" i="47"/>
  <c r="C76" i="42"/>
  <c r="B56" i="42" s="1"/>
  <c r="D19" i="27"/>
  <c r="D97" i="10"/>
  <c r="E73" i="16"/>
  <c r="E72" i="15"/>
  <c r="F28" i="27"/>
  <c r="E75" i="15"/>
  <c r="C28" i="36"/>
  <c r="D30" i="25"/>
  <c r="B36" i="17"/>
  <c r="G50" i="17"/>
  <c r="G13" i="17"/>
  <c r="H62" i="17"/>
  <c r="B77" i="13"/>
  <c r="H62" i="13"/>
  <c r="H20" i="13"/>
  <c r="H60" i="13"/>
  <c r="E5" i="13"/>
  <c r="E44" i="13" s="1"/>
  <c r="H24" i="13"/>
  <c r="B31" i="13"/>
  <c r="H66" i="13"/>
  <c r="G13" i="13"/>
  <c r="E35" i="18"/>
  <c r="E32" i="18"/>
  <c r="B55" i="27"/>
  <c r="C30" i="37"/>
  <c r="C26" i="37"/>
  <c r="C26" i="35"/>
  <c r="B53" i="27"/>
  <c r="C30" i="35"/>
  <c r="C59" i="22"/>
  <c r="C23" i="14"/>
  <c r="C35" i="14" s="1"/>
  <c r="D176" i="9"/>
  <c r="D293" i="9" s="1"/>
  <c r="A5" i="43"/>
  <c r="K37" i="29"/>
  <c r="B59" i="26"/>
  <c r="B24" i="26"/>
  <c r="E59" i="37"/>
  <c r="E56" i="37"/>
  <c r="C36" i="12"/>
  <c r="C116" i="9"/>
  <c r="C291" i="9" s="1"/>
  <c r="A6" i="43"/>
  <c r="C97" i="19"/>
  <c r="C57" i="9"/>
  <c r="C289" i="9" s="1"/>
  <c r="D30" i="36"/>
  <c r="D26" i="36"/>
  <c r="B79" i="13" l="1"/>
  <c r="E50" i="16"/>
  <c r="E12" i="17"/>
  <c r="E50" i="15"/>
  <c r="E12" i="16"/>
  <c r="E12" i="15"/>
  <c r="E51" i="13"/>
  <c r="E51" i="14"/>
  <c r="E12" i="14"/>
  <c r="E52" i="12"/>
  <c r="E52" i="10"/>
  <c r="E12" i="13"/>
  <c r="E12" i="12"/>
  <c r="E12" i="10"/>
  <c r="D45" i="38"/>
  <c r="H53" i="38"/>
  <c r="E47" i="38"/>
  <c r="G51" i="38"/>
  <c r="D6" i="10"/>
  <c r="D24" i="10" s="1"/>
  <c r="D36" i="10" s="1"/>
  <c r="G19" i="10" s="1"/>
  <c r="B78" i="10"/>
  <c r="B37" i="15"/>
  <c r="B37" i="16"/>
  <c r="B78" i="20"/>
  <c r="B37" i="20"/>
  <c r="C53" i="44"/>
  <c r="C100" i="19"/>
  <c r="B79" i="19" s="1"/>
  <c r="C98" i="19"/>
  <c r="C77" i="42"/>
  <c r="D46" i="10"/>
  <c r="D64" i="10" s="1"/>
  <c r="D75" i="10" s="1"/>
  <c r="E46" i="10" s="1"/>
  <c r="C100" i="10"/>
  <c r="B80" i="12"/>
  <c r="D6" i="13"/>
  <c r="D23" i="13" s="1"/>
  <c r="D35" i="13" s="1"/>
  <c r="E6" i="13" s="1"/>
  <c r="B38" i="13"/>
  <c r="C100" i="14"/>
  <c r="D44" i="15"/>
  <c r="D63" i="15" s="1"/>
  <c r="D74" i="15" s="1"/>
  <c r="G59" i="15" s="1"/>
  <c r="D6" i="15"/>
  <c r="D23" i="15" s="1"/>
  <c r="D34" i="15" s="1"/>
  <c r="D97" i="15" s="1"/>
  <c r="B38" i="15" s="1"/>
  <c r="G60" i="16"/>
  <c r="E44" i="16"/>
  <c r="B38" i="17"/>
  <c r="D6" i="17"/>
  <c r="D23" i="17" s="1"/>
  <c r="D35" i="17" s="1"/>
  <c r="D98" i="17" s="1"/>
  <c r="B39" i="17" s="1"/>
  <c r="C97" i="18"/>
  <c r="D6" i="18"/>
  <c r="D23" i="18" s="1"/>
  <c r="D34" i="18" s="1"/>
  <c r="D97" i="18" s="1"/>
  <c r="D44" i="18"/>
  <c r="D63" i="18" s="1"/>
  <c r="D74" i="18" s="1"/>
  <c r="C99" i="18"/>
  <c r="B37" i="19"/>
  <c r="D6" i="20"/>
  <c r="D23" i="20" s="1"/>
  <c r="D34" i="20" s="1"/>
  <c r="D95" i="20" s="1"/>
  <c r="B38" i="20" s="1"/>
  <c r="C97" i="20"/>
  <c r="C98" i="21"/>
  <c r="B37" i="21"/>
  <c r="E7" i="42"/>
  <c r="E30" i="42" s="1"/>
  <c r="E57" i="42" s="1"/>
  <c r="D77" i="42"/>
  <c r="G36" i="42"/>
  <c r="D182" i="9"/>
  <c r="C182" i="9"/>
  <c r="B182" i="9"/>
  <c r="B57" i="27"/>
  <c r="C64" i="9"/>
  <c r="B64" i="9"/>
  <c r="D64" i="9"/>
  <c r="K18" i="45"/>
  <c r="B78" i="17"/>
  <c r="D122" i="9"/>
  <c r="C122" i="9"/>
  <c r="B122" i="9"/>
  <c r="B39" i="10"/>
  <c r="F78" i="73"/>
  <c r="B243" i="9"/>
  <c r="C243" i="9"/>
  <c r="D243" i="9"/>
  <c r="B59" i="73"/>
  <c r="B58" i="27"/>
  <c r="B78" i="14"/>
  <c r="G73" i="17"/>
  <c r="G33" i="14"/>
  <c r="G32" i="21"/>
  <c r="G32" i="20"/>
  <c r="G33" i="19"/>
  <c r="G31" i="18"/>
  <c r="G33" i="17"/>
  <c r="G32" i="16"/>
  <c r="G31" i="15"/>
  <c r="G32" i="13"/>
  <c r="G59" i="8"/>
  <c r="G75" i="12"/>
  <c r="G73" i="14"/>
  <c r="G33" i="12"/>
  <c r="G74" i="21"/>
  <c r="G74" i="20"/>
  <c r="G73" i="19"/>
  <c r="G73" i="18"/>
  <c r="G74" i="16"/>
  <c r="G73" i="15"/>
  <c r="G74" i="13"/>
  <c r="G73" i="10"/>
  <c r="G51" i="44"/>
  <c r="G33" i="10"/>
  <c r="G50" i="42"/>
  <c r="C6" i="35"/>
  <c r="C35" i="35" s="1"/>
  <c r="C6" i="25"/>
  <c r="C35" i="25" s="1"/>
  <c r="C6" i="22"/>
  <c r="C35" i="22" s="1"/>
  <c r="C6" i="37"/>
  <c r="C35" i="37" s="1"/>
  <c r="C6" i="36"/>
  <c r="C35" i="36" s="1"/>
  <c r="C6" i="24"/>
  <c r="C35" i="24" s="1"/>
  <c r="C6" i="23"/>
  <c r="C35" i="23" s="1"/>
  <c r="C6" i="26"/>
  <c r="C35" i="26" s="1"/>
  <c r="E6" i="26"/>
  <c r="E35" i="26" s="1"/>
  <c r="E6" i="37"/>
  <c r="E35" i="37" s="1"/>
  <c r="E6" i="25"/>
  <c r="E35" i="25" s="1"/>
  <c r="E6" i="36"/>
  <c r="E35" i="36" s="1"/>
  <c r="E6" i="35"/>
  <c r="E35" i="35" s="1"/>
  <c r="E6" i="22"/>
  <c r="E35" i="22" s="1"/>
  <c r="E6" i="24"/>
  <c r="E35" i="24" s="1"/>
  <c r="D6" i="26"/>
  <c r="D35" i="26" s="1"/>
  <c r="D6" i="37"/>
  <c r="D35" i="37" s="1"/>
  <c r="D6" i="36"/>
  <c r="D35" i="36" s="1"/>
  <c r="D6" i="25"/>
  <c r="D35" i="25" s="1"/>
  <c r="D6" i="24"/>
  <c r="D35" i="24" s="1"/>
  <c r="D6" i="23"/>
  <c r="D35" i="23" s="1"/>
  <c r="D6" i="35"/>
  <c r="D35" i="35" s="1"/>
  <c r="B297" i="9"/>
  <c r="D297" i="9"/>
  <c r="D53" i="8"/>
  <c r="D59" i="8" s="1"/>
  <c r="D65" i="73" s="1"/>
  <c r="E58" i="44"/>
  <c r="D22" i="3"/>
  <c r="E53" i="44"/>
  <c r="F65" i="73"/>
  <c r="E56" i="44"/>
  <c r="F18" i="27"/>
  <c r="B18" i="27"/>
  <c r="C55" i="44"/>
  <c r="D6" i="44" s="1"/>
  <c r="D27" i="44" s="1"/>
  <c r="C76" i="44"/>
  <c r="B39" i="12"/>
  <c r="B38" i="14"/>
  <c r="D45" i="17"/>
  <c r="D64" i="17" s="1"/>
  <c r="D75" i="17" s="1"/>
  <c r="B78" i="19"/>
  <c r="E44" i="19"/>
  <c r="E63" i="19" s="1"/>
  <c r="E79" i="19" s="1"/>
  <c r="G59" i="19"/>
  <c r="D44" i="21"/>
  <c r="D63" i="21" s="1"/>
  <c r="D75" i="21" s="1"/>
  <c r="C100" i="21"/>
  <c r="M49" i="27"/>
  <c r="M57" i="27" s="1"/>
  <c r="E7" i="24"/>
  <c r="E16" i="24" s="1"/>
  <c r="E28" i="24" s="1"/>
  <c r="E30" i="24" s="1"/>
  <c r="D31" i="37"/>
  <c r="H29" i="47"/>
  <c r="H30" i="47" s="1"/>
  <c r="K18" i="47"/>
  <c r="C62" i="22"/>
  <c r="D36" i="22"/>
  <c r="D45" i="22" s="1"/>
  <c r="D57" i="22" s="1"/>
  <c r="D102" i="12"/>
  <c r="B81" i="12" s="1"/>
  <c r="G61" i="12"/>
  <c r="E46" i="12"/>
  <c r="C297" i="9"/>
  <c r="C98" i="16"/>
  <c r="D6" i="16"/>
  <c r="D23" i="16" s="1"/>
  <c r="D34" i="16" s="1"/>
  <c r="G20" i="19"/>
  <c r="G60" i="18"/>
  <c r="G18" i="18"/>
  <c r="D31" i="23"/>
  <c r="E7" i="23"/>
  <c r="E16" i="23" s="1"/>
  <c r="E28" i="23" s="1"/>
  <c r="E30" i="23" s="1"/>
  <c r="C58" i="8"/>
  <c r="B16" i="27"/>
  <c r="C60" i="8"/>
  <c r="C81" i="8"/>
  <c r="G59" i="14"/>
  <c r="E45" i="14"/>
  <c r="D100" i="14"/>
  <c r="D53" i="44"/>
  <c r="D18" i="27"/>
  <c r="D76" i="44"/>
  <c r="D7" i="22"/>
  <c r="D16" i="22" s="1"/>
  <c r="D28" i="22" s="1"/>
  <c r="C31" i="22"/>
  <c r="D31" i="35"/>
  <c r="E7" i="35"/>
  <c r="E16" i="35" s="1"/>
  <c r="E28" i="35" s="1"/>
  <c r="E30" i="35" s="1"/>
  <c r="D7" i="36"/>
  <c r="D16" i="36" s="1"/>
  <c r="D28" i="36" s="1"/>
  <c r="C31" i="36"/>
  <c r="D36" i="35"/>
  <c r="D45" i="35" s="1"/>
  <c r="D58" i="35" s="1"/>
  <c r="C63" i="35"/>
  <c r="C100" i="12"/>
  <c r="D6" i="12"/>
  <c r="D24" i="12" s="1"/>
  <c r="D36" i="12" s="1"/>
  <c r="K29" i="48"/>
  <c r="G19" i="19"/>
  <c r="E6" i="19"/>
  <c r="E23" i="19" s="1"/>
  <c r="E38" i="19" s="1"/>
  <c r="D98" i="19"/>
  <c r="E36" i="23"/>
  <c r="E45" i="23" s="1"/>
  <c r="E58" i="23" s="1"/>
  <c r="E60" i="23" s="1"/>
  <c r="D63" i="23"/>
  <c r="K29" i="45"/>
  <c r="B30" i="45"/>
  <c r="C101" i="13"/>
  <c r="D45" i="13"/>
  <c r="D64" i="13" s="1"/>
  <c r="D76" i="13" s="1"/>
  <c r="D30" i="47"/>
  <c r="K29" i="47"/>
  <c r="D98" i="21"/>
  <c r="G18" i="21"/>
  <c r="E6" i="21"/>
  <c r="E23" i="21" s="1"/>
  <c r="E38" i="21" s="1"/>
  <c r="D36" i="37"/>
  <c r="D45" i="37" s="1"/>
  <c r="D58" i="37" s="1"/>
  <c r="C63" i="37"/>
  <c r="G60" i="20"/>
  <c r="D97" i="20"/>
  <c r="E46" i="20"/>
  <c r="E63" i="20" s="1"/>
  <c r="E79" i="20" s="1"/>
  <c r="G37" i="42"/>
  <c r="C98" i="14"/>
  <c r="D6" i="14"/>
  <c r="D23" i="14" s="1"/>
  <c r="D35" i="14" s="1"/>
  <c r="D31" i="26"/>
  <c r="E7" i="26"/>
  <c r="E16" i="26" s="1"/>
  <c r="E28" i="26" s="1"/>
  <c r="E30" i="26" s="1"/>
  <c r="E36" i="24"/>
  <c r="E45" i="24" s="1"/>
  <c r="E57" i="24" s="1"/>
  <c r="E59" i="24" s="1"/>
  <c r="D62" i="24"/>
  <c r="F16" i="27"/>
  <c r="D20" i="3"/>
  <c r="F65" i="8"/>
  <c r="E58" i="8"/>
  <c r="E63" i="8"/>
  <c r="E61" i="8"/>
  <c r="G17" i="18" l="1"/>
  <c r="E6" i="18"/>
  <c r="E23" i="18" s="1"/>
  <c r="E38" i="18" s="1"/>
  <c r="E39" i="18" s="1"/>
  <c r="B65" i="73"/>
  <c r="E39" i="21"/>
  <c r="E40" i="21" s="1"/>
  <c r="E80" i="19"/>
  <c r="E81" i="19" s="1"/>
  <c r="E80" i="20"/>
  <c r="E81" i="20" s="1"/>
  <c r="E39" i="19"/>
  <c r="E40" i="19" s="1"/>
  <c r="E58" i="42"/>
  <c r="E59" i="42" s="1"/>
  <c r="E48" i="16"/>
  <c r="E10" i="17"/>
  <c r="E51" i="16"/>
  <c r="E13" i="17"/>
  <c r="E52" i="16"/>
  <c r="E14" i="17"/>
  <c r="E49" i="16"/>
  <c r="E11" i="17"/>
  <c r="E49" i="15"/>
  <c r="E11" i="16"/>
  <c r="E51" i="15"/>
  <c r="E13" i="16"/>
  <c r="E52" i="15"/>
  <c r="E14" i="16"/>
  <c r="E48" i="15"/>
  <c r="E10" i="16"/>
  <c r="E49" i="14"/>
  <c r="E10" i="15"/>
  <c r="E50" i="14"/>
  <c r="E11" i="15"/>
  <c r="E53" i="14"/>
  <c r="E14" i="15"/>
  <c r="E52" i="14"/>
  <c r="E13" i="15"/>
  <c r="E52" i="13"/>
  <c r="E13" i="14"/>
  <c r="E50" i="13"/>
  <c r="E11" i="14"/>
  <c r="E49" i="13"/>
  <c r="E10" i="14"/>
  <c r="E53" i="13"/>
  <c r="E14" i="14"/>
  <c r="E54" i="12"/>
  <c r="E14" i="13"/>
  <c r="E51" i="12"/>
  <c r="E11" i="13"/>
  <c r="E50" i="12"/>
  <c r="E10" i="13"/>
  <c r="E53" i="12"/>
  <c r="E13" i="13"/>
  <c r="E54" i="10"/>
  <c r="E14" i="12"/>
  <c r="E50" i="10"/>
  <c r="E10" i="12"/>
  <c r="E53" i="10"/>
  <c r="E13" i="12"/>
  <c r="E51" i="10"/>
  <c r="E11" i="12"/>
  <c r="E12" i="44"/>
  <c r="E13" i="44"/>
  <c r="E13" i="10"/>
  <c r="E11" i="44"/>
  <c r="E11" i="10"/>
  <c r="E10" i="10"/>
  <c r="E14" i="44"/>
  <c r="E14" i="10"/>
  <c r="D98" i="10"/>
  <c r="B40" i="10" s="1"/>
  <c r="E6" i="10"/>
  <c r="B79" i="14"/>
  <c r="D99" i="15"/>
  <c r="B78" i="15" s="1"/>
  <c r="B38" i="18"/>
  <c r="B38" i="19"/>
  <c r="D57" i="3"/>
  <c r="B57" i="42"/>
  <c r="C77" i="44"/>
  <c r="G59" i="10"/>
  <c r="D100" i="10"/>
  <c r="B79" i="10" s="1"/>
  <c r="G18" i="13"/>
  <c r="D99" i="13"/>
  <c r="B39" i="13" s="1"/>
  <c r="E44" i="15"/>
  <c r="E6" i="15"/>
  <c r="G17" i="15"/>
  <c r="G18" i="17"/>
  <c r="E6" i="17"/>
  <c r="G59" i="18"/>
  <c r="D99" i="18"/>
  <c r="B78" i="18" s="1"/>
  <c r="E44" i="18"/>
  <c r="E63" i="18" s="1"/>
  <c r="E78" i="18" s="1"/>
  <c r="E6" i="20"/>
  <c r="E23" i="20" s="1"/>
  <c r="E38" i="20" s="1"/>
  <c r="G18" i="20"/>
  <c r="B79" i="20"/>
  <c r="B38" i="21"/>
  <c r="D16" i="27"/>
  <c r="D61" i="27" s="1"/>
  <c r="D64" i="27" s="1"/>
  <c r="D81" i="8"/>
  <c r="B63" i="8" s="1"/>
  <c r="D58" i="8"/>
  <c r="B61" i="27"/>
  <c r="B64" i="27" s="1"/>
  <c r="F61" i="27"/>
  <c r="F64" i="27" s="1"/>
  <c r="B58" i="44"/>
  <c r="E45" i="17"/>
  <c r="E64" i="17" s="1"/>
  <c r="E79" i="17" s="1"/>
  <c r="G59" i="17"/>
  <c r="D100" i="17"/>
  <c r="B79" i="17" s="1"/>
  <c r="G60" i="21"/>
  <c r="D100" i="21"/>
  <c r="B79" i="21" s="1"/>
  <c r="E44" i="21"/>
  <c r="E63" i="21" s="1"/>
  <c r="E79" i="21" s="1"/>
  <c r="D63" i="35"/>
  <c r="E36" i="35"/>
  <c r="E45" i="35" s="1"/>
  <c r="E58" i="35" s="1"/>
  <c r="E60" i="35" s="1"/>
  <c r="G19" i="14"/>
  <c r="E6" i="14"/>
  <c r="D98" i="14"/>
  <c r="B39" i="14" s="1"/>
  <c r="E45" i="13"/>
  <c r="G60" i="13"/>
  <c r="D101" i="13"/>
  <c r="B80" i="13" s="1"/>
  <c r="E36" i="22"/>
  <c r="E45" i="22" s="1"/>
  <c r="E57" i="22" s="1"/>
  <c r="E59" i="22" s="1"/>
  <c r="D62" i="22"/>
  <c r="D6" i="8"/>
  <c r="D29" i="8" s="1"/>
  <c r="C82" i="8"/>
  <c r="D100" i="12"/>
  <c r="B40" i="12" s="1"/>
  <c r="G19" i="12"/>
  <c r="E6" i="12"/>
  <c r="G18" i="16"/>
  <c r="D98" i="16"/>
  <c r="B38" i="16" s="1"/>
  <c r="E6" i="16"/>
  <c r="D55" i="44"/>
  <c r="D36" i="44"/>
  <c r="D31" i="36"/>
  <c r="E7" i="36"/>
  <c r="E16" i="36" s="1"/>
  <c r="E28" i="36" s="1"/>
  <c r="E30" i="36" s="1"/>
  <c r="D63" i="37"/>
  <c r="E36" i="37"/>
  <c r="E45" i="37" s="1"/>
  <c r="E58" i="37" s="1"/>
  <c r="E60" i="37" s="1"/>
  <c r="E7" i="22"/>
  <c r="E16" i="22" s="1"/>
  <c r="E28" i="22" s="1"/>
  <c r="E30" i="22" s="1"/>
  <c r="D31" i="22"/>
  <c r="E21" i="3" l="1"/>
  <c r="F21" i="3" s="1"/>
  <c r="E28" i="42"/>
  <c r="G38" i="42"/>
  <c r="K38" i="42" s="1"/>
  <c r="G17" i="27"/>
  <c r="H17" i="27" s="1"/>
  <c r="G46" i="42" s="1"/>
  <c r="E62" i="16"/>
  <c r="G61" i="16" s="1"/>
  <c r="G20" i="21"/>
  <c r="G62" i="20"/>
  <c r="K62" i="20" s="1"/>
  <c r="G61" i="19"/>
  <c r="K61" i="19" s="1"/>
  <c r="E40" i="3"/>
  <c r="F40" i="3" s="1"/>
  <c r="G36" i="27"/>
  <c r="H36" i="27" s="1"/>
  <c r="G69" i="19" s="1"/>
  <c r="E61" i="19"/>
  <c r="G21" i="19"/>
  <c r="K21" i="19" s="1"/>
  <c r="E40" i="18"/>
  <c r="G19" i="18" s="1"/>
  <c r="G20" i="18" s="1"/>
  <c r="G23" i="18" s="1"/>
  <c r="E39" i="3"/>
  <c r="F39" i="3" s="1"/>
  <c r="E21" i="19"/>
  <c r="G35" i="27"/>
  <c r="H35" i="27" s="1"/>
  <c r="G29" i="19" s="1"/>
  <c r="E61" i="20"/>
  <c r="G38" i="27"/>
  <c r="H38" i="27" s="1"/>
  <c r="G70" i="20" s="1"/>
  <c r="E42" i="3"/>
  <c r="F42" i="3" s="1"/>
  <c r="E43" i="3"/>
  <c r="F43" i="3" s="1"/>
  <c r="G39" i="27"/>
  <c r="H39" i="27" s="1"/>
  <c r="G28" i="21" s="1"/>
  <c r="E21" i="21"/>
  <c r="E79" i="18"/>
  <c r="E80" i="18" s="1"/>
  <c r="E80" i="21"/>
  <c r="E81" i="21" s="1"/>
  <c r="E80" i="17"/>
  <c r="E81" i="17" s="1"/>
  <c r="K20" i="21"/>
  <c r="E39" i="20"/>
  <c r="E40" i="20" s="1"/>
  <c r="E22" i="17"/>
  <c r="G19" i="17" s="1"/>
  <c r="E22" i="16"/>
  <c r="G19" i="16" s="1"/>
  <c r="E62" i="15"/>
  <c r="G60" i="15" s="1"/>
  <c r="E63" i="16"/>
  <c r="E79" i="16" s="1"/>
  <c r="E22" i="13"/>
  <c r="G19" i="13" s="1"/>
  <c r="E63" i="14"/>
  <c r="G60" i="14" s="1"/>
  <c r="E22" i="15"/>
  <c r="G18" i="15" s="1"/>
  <c r="E63" i="13"/>
  <c r="G61" i="13" s="1"/>
  <c r="E22" i="14"/>
  <c r="G20" i="14" s="1"/>
  <c r="E64" i="12"/>
  <c r="E63" i="10"/>
  <c r="G60" i="10" s="1"/>
  <c r="E23" i="12"/>
  <c r="G20" i="12" s="1"/>
  <c r="E14" i="8"/>
  <c r="E23" i="10"/>
  <c r="G20" i="10" s="1"/>
  <c r="E10" i="44"/>
  <c r="E26" i="44" s="1"/>
  <c r="E13" i="8"/>
  <c r="E12" i="8"/>
  <c r="G39" i="42"/>
  <c r="G42" i="42" s="1"/>
  <c r="G62" i="19"/>
  <c r="G65" i="19" s="1"/>
  <c r="D60" i="8"/>
  <c r="D37" i="8"/>
  <c r="G21" i="21"/>
  <c r="G24" i="21" s="1"/>
  <c r="D77" i="44"/>
  <c r="B59" i="44" s="1"/>
  <c r="E6" i="44"/>
  <c r="G62" i="21" l="1"/>
  <c r="K62" i="21" s="1"/>
  <c r="E61" i="21"/>
  <c r="E44" i="3"/>
  <c r="G70" i="21"/>
  <c r="E11" i="8"/>
  <c r="G63" i="20"/>
  <c r="G66" i="20" s="1"/>
  <c r="G22" i="19"/>
  <c r="G25" i="19" s="1"/>
  <c r="G20" i="20"/>
  <c r="K20" i="20" s="1"/>
  <c r="G61" i="18"/>
  <c r="K61" i="18" s="1"/>
  <c r="K19" i="18"/>
  <c r="E37" i="3"/>
  <c r="F37" i="3" s="1"/>
  <c r="G33" i="27"/>
  <c r="H33" i="27" s="1"/>
  <c r="G27" i="18" s="1"/>
  <c r="E21" i="18"/>
  <c r="G37" i="27"/>
  <c r="H37" i="27" s="1"/>
  <c r="G28" i="20" s="1"/>
  <c r="E41" i="3"/>
  <c r="F41" i="3" s="1"/>
  <c r="E21" i="20"/>
  <c r="E38" i="3"/>
  <c r="E61" i="18"/>
  <c r="F38" i="3"/>
  <c r="G34" i="27"/>
  <c r="H34" i="27" s="1"/>
  <c r="G69" i="18" s="1"/>
  <c r="G61" i="17"/>
  <c r="K61" i="17" s="1"/>
  <c r="E62" i="17"/>
  <c r="G32" i="27"/>
  <c r="H32" i="27" s="1"/>
  <c r="G69" i="17" s="1"/>
  <c r="E36" i="3"/>
  <c r="F36" i="3" s="1"/>
  <c r="E80" i="16"/>
  <c r="E81" i="16" s="1"/>
  <c r="E23" i="16"/>
  <c r="E38" i="16" s="1"/>
  <c r="E23" i="17"/>
  <c r="E39" i="17" s="1"/>
  <c r="E23" i="13"/>
  <c r="E39" i="13" s="1"/>
  <c r="E63" i="15"/>
  <c r="E78" i="15" s="1"/>
  <c r="E64" i="14"/>
  <c r="E79" i="14" s="1"/>
  <c r="E64" i="13"/>
  <c r="E80" i="13" s="1"/>
  <c r="E23" i="15"/>
  <c r="E38" i="15" s="1"/>
  <c r="E64" i="10"/>
  <c r="E79" i="10" s="1"/>
  <c r="E23" i="14"/>
  <c r="E39" i="14" s="1"/>
  <c r="G62" i="12"/>
  <c r="E65" i="12"/>
  <c r="E81" i="12" s="1"/>
  <c r="E24" i="12"/>
  <c r="E40" i="12" s="1"/>
  <c r="E27" i="44"/>
  <c r="E36" i="44" s="1"/>
  <c r="E24" i="10"/>
  <c r="E40" i="10" s="1"/>
  <c r="E10" i="8"/>
  <c r="G63" i="21"/>
  <c r="G66" i="21" s="1"/>
  <c r="D82" i="8"/>
  <c r="B64" i="8" s="1"/>
  <c r="E6" i="8"/>
  <c r="E28" i="8" l="1"/>
  <c r="E29" i="8" s="1"/>
  <c r="E37" i="8" s="1"/>
  <c r="G62" i="16"/>
  <c r="G63" i="16" s="1"/>
  <c r="G66" i="16" s="1"/>
  <c r="G62" i="18"/>
  <c r="G65" i="18" s="1"/>
  <c r="G21" i="20"/>
  <c r="G24" i="20" s="1"/>
  <c r="G62" i="17"/>
  <c r="G65" i="17" s="1"/>
  <c r="G30" i="27"/>
  <c r="H30" i="27" s="1"/>
  <c r="G70" i="16" s="1"/>
  <c r="E61" i="16"/>
  <c r="E34" i="3"/>
  <c r="F34" i="3" s="1"/>
  <c r="E40" i="13"/>
  <c r="E41" i="13" s="1"/>
  <c r="E41" i="10"/>
  <c r="G21" i="10" s="1"/>
  <c r="E82" i="12"/>
  <c r="E83" i="12" s="1"/>
  <c r="E80" i="10"/>
  <c r="G61" i="10" s="1"/>
  <c r="G62" i="10" s="1"/>
  <c r="G65" i="10" s="1"/>
  <c r="E79" i="15"/>
  <c r="E80" i="15" s="1"/>
  <c r="E39" i="16"/>
  <c r="E40" i="16" s="1"/>
  <c r="E39" i="15"/>
  <c r="E40" i="15" s="1"/>
  <c r="E41" i="12"/>
  <c r="E42" i="12" s="1"/>
  <c r="E81" i="13"/>
  <c r="E82" i="13" s="1"/>
  <c r="E40" i="14"/>
  <c r="G21" i="14" s="1"/>
  <c r="E80" i="14"/>
  <c r="E81" i="14" s="1"/>
  <c r="E40" i="17"/>
  <c r="G20" i="17" s="1"/>
  <c r="K62" i="16"/>
  <c r="E59" i="44"/>
  <c r="G61" i="15" l="1"/>
  <c r="G62" i="15" s="1"/>
  <c r="G65" i="15" s="1"/>
  <c r="G21" i="12"/>
  <c r="K21" i="12" s="1"/>
  <c r="E41" i="17"/>
  <c r="E21" i="17" s="1"/>
  <c r="E21" i="16"/>
  <c r="G20" i="16"/>
  <c r="K20" i="16" s="1"/>
  <c r="G63" i="12"/>
  <c r="K63" i="12" s="1"/>
  <c r="E41" i="14"/>
  <c r="G62" i="13"/>
  <c r="G20" i="13"/>
  <c r="K20" i="13" s="1"/>
  <c r="G21" i="27"/>
  <c r="H21" i="27" s="1"/>
  <c r="G29" i="12" s="1"/>
  <c r="E81" i="10"/>
  <c r="G20" i="27" s="1"/>
  <c r="H20" i="27" s="1"/>
  <c r="G69" i="10" s="1"/>
  <c r="E42" i="10"/>
  <c r="K21" i="10" s="1"/>
  <c r="E62" i="14"/>
  <c r="E30" i="3"/>
  <c r="F30" i="3" s="1"/>
  <c r="G26" i="27"/>
  <c r="H26" i="27" s="1"/>
  <c r="G69" i="14" s="1"/>
  <c r="E63" i="12"/>
  <c r="E26" i="3"/>
  <c r="F26" i="3" s="1"/>
  <c r="G22" i="27"/>
  <c r="H22" i="27" s="1"/>
  <c r="G71" i="12" s="1"/>
  <c r="E61" i="15"/>
  <c r="E32" i="3"/>
  <c r="F32" i="3" s="1"/>
  <c r="G28" i="27"/>
  <c r="H28" i="27" s="1"/>
  <c r="G69" i="15" s="1"/>
  <c r="E31" i="3"/>
  <c r="F31" i="3" s="1"/>
  <c r="E21" i="15"/>
  <c r="G27" i="27"/>
  <c r="H27" i="27" s="1"/>
  <c r="G27" i="15" s="1"/>
  <c r="F28" i="3"/>
  <c r="E62" i="13"/>
  <c r="G24" i="27"/>
  <c r="H24" i="27" s="1"/>
  <c r="G70" i="13" s="1"/>
  <c r="E28" i="3"/>
  <c r="G23" i="27"/>
  <c r="H23" i="27" s="1"/>
  <c r="G28" i="13" s="1"/>
  <c r="E21" i="13"/>
  <c r="E27" i="3"/>
  <c r="F27" i="3" s="1"/>
  <c r="E22" i="12"/>
  <c r="E25" i="3"/>
  <c r="F25" i="3" s="1"/>
  <c r="E60" i="44"/>
  <c r="E61" i="44" s="1"/>
  <c r="E33" i="3"/>
  <c r="F33" i="3" s="1"/>
  <c r="G19" i="15"/>
  <c r="K19" i="15" s="1"/>
  <c r="G29" i="27"/>
  <c r="H29" i="27" s="1"/>
  <c r="G28" i="16" s="1"/>
  <c r="G61" i="14"/>
  <c r="K61" i="14" s="1"/>
  <c r="G21" i="13"/>
  <c r="G24" i="13" s="1"/>
  <c r="G21" i="17"/>
  <c r="G24" i="17" s="1"/>
  <c r="G20" i="15"/>
  <c r="G23" i="15" s="1"/>
  <c r="G22" i="14"/>
  <c r="G25" i="14" s="1"/>
  <c r="E64" i="8"/>
  <c r="G22" i="12"/>
  <c r="G25" i="12" s="1"/>
  <c r="G22" i="10"/>
  <c r="G25" i="10" s="1"/>
  <c r="G21" i="16" l="1"/>
  <c r="G24" i="16" s="1"/>
  <c r="K61" i="15"/>
  <c r="G62" i="14"/>
  <c r="G65" i="14" s="1"/>
  <c r="K62" i="13"/>
  <c r="G63" i="13"/>
  <c r="G66" i="13" s="1"/>
  <c r="G64" i="12"/>
  <c r="G67" i="12" s="1"/>
  <c r="E35" i="3"/>
  <c r="F35" i="3" s="1"/>
  <c r="K20" i="17"/>
  <c r="K21" i="14"/>
  <c r="G31" i="27"/>
  <c r="H31" i="27" s="1"/>
  <c r="G28" i="17" s="1"/>
  <c r="G25" i="27"/>
  <c r="H25" i="27" s="1"/>
  <c r="G29" i="14" s="1"/>
  <c r="E21" i="14"/>
  <c r="E29" i="3"/>
  <c r="F29" i="3" s="1"/>
  <c r="E62" i="10"/>
  <c r="E24" i="3"/>
  <c r="F24" i="3" s="1"/>
  <c r="K61" i="10"/>
  <c r="E23" i="3"/>
  <c r="F23" i="3" s="1"/>
  <c r="G19" i="27"/>
  <c r="H19" i="27" s="1"/>
  <c r="G29" i="10" s="1"/>
  <c r="E22" i="10"/>
  <c r="E22" i="3"/>
  <c r="F22" i="3" s="1"/>
  <c r="E25" i="44"/>
  <c r="E65" i="8"/>
  <c r="G18" i="27"/>
  <c r="H18" i="27" s="1"/>
  <c r="E66" i="8" l="1"/>
  <c r="G65" i="73" s="1"/>
  <c r="M69" i="73" s="1"/>
  <c r="E20" i="3" l="1"/>
  <c r="E57" i="3" s="1"/>
  <c r="E27" i="8"/>
  <c r="M66" i="73"/>
  <c r="G16" i="27"/>
  <c r="G61" i="27" s="1"/>
  <c r="M65" i="27" s="1"/>
  <c r="M57" i="73"/>
  <c r="M59" i="73" s="1"/>
  <c r="M51" i="73" s="1"/>
  <c r="J51" i="73" s="1"/>
  <c r="F20" i="3" l="1"/>
  <c r="F57" i="3" s="1"/>
  <c r="H16" i="27"/>
  <c r="G55" i="8" s="1"/>
  <c r="M71" i="73"/>
  <c r="J73" i="73" s="1"/>
  <c r="M56" i="27"/>
  <c r="M58" i="27" s="1"/>
  <c r="M52" i="27" s="1"/>
  <c r="J52" i="27" s="1"/>
  <c r="M53" i="73"/>
  <c r="J53" i="73" s="1"/>
  <c r="H61" i="27" l="1"/>
  <c r="G32" i="12" s="1"/>
  <c r="J35" i="12" s="1"/>
  <c r="G37" i="12" s="1"/>
  <c r="J53" i="44"/>
  <c r="G55" i="44" s="1"/>
  <c r="M51" i="27"/>
  <c r="J51" i="27" s="1"/>
  <c r="G30" i="15" l="1"/>
  <c r="J33" i="15" s="1"/>
  <c r="G35" i="15" s="1"/>
  <c r="G32" i="10"/>
  <c r="J35" i="10" s="1"/>
  <c r="G37" i="10" s="1"/>
  <c r="G72" i="19"/>
  <c r="J75" i="19" s="1"/>
  <c r="G77" i="19" s="1"/>
  <c r="M62" i="27"/>
  <c r="G32" i="17"/>
  <c r="J35" i="17" s="1"/>
  <c r="G37" i="17" s="1"/>
  <c r="G32" i="14"/>
  <c r="J35" i="14" s="1"/>
  <c r="G37" i="14" s="1"/>
  <c r="G31" i="20"/>
  <c r="J34" i="20" s="1"/>
  <c r="G36" i="20" s="1"/>
  <c r="G30" i="18"/>
  <c r="J33" i="18" s="1"/>
  <c r="G35" i="18" s="1"/>
  <c r="G72" i="10"/>
  <c r="J75" i="10" s="1"/>
  <c r="G77" i="10" s="1"/>
  <c r="G31" i="16"/>
  <c r="J34" i="16" s="1"/>
  <c r="G36" i="16" s="1"/>
  <c r="G72" i="15"/>
  <c r="J75" i="15" s="1"/>
  <c r="G77" i="15" s="1"/>
  <c r="G72" i="17"/>
  <c r="J75" i="17" s="1"/>
  <c r="G77" i="17" s="1"/>
  <c r="G73" i="20"/>
  <c r="J76" i="20" s="1"/>
  <c r="G78" i="20" s="1"/>
  <c r="G9" i="72"/>
  <c r="G49" i="42"/>
  <c r="J52" i="42" s="1"/>
  <c r="G54" i="42" s="1"/>
  <c r="G72" i="14"/>
  <c r="J75" i="14" s="1"/>
  <c r="G77" i="14" s="1"/>
  <c r="G73" i="16"/>
  <c r="J76" i="16" s="1"/>
  <c r="G78" i="16" s="1"/>
  <c r="G31" i="13"/>
  <c r="J34" i="13" s="1"/>
  <c r="G36" i="13" s="1"/>
  <c r="G58" i="8"/>
  <c r="J61" i="8" s="1"/>
  <c r="G63" i="8" s="1"/>
  <c r="G73" i="21"/>
  <c r="J76" i="21" s="1"/>
  <c r="G78" i="21" s="1"/>
  <c r="G31" i="21"/>
  <c r="J34" i="21" s="1"/>
  <c r="G36" i="21" s="1"/>
  <c r="G32" i="19"/>
  <c r="J35" i="19" s="1"/>
  <c r="G37" i="19" s="1"/>
  <c r="G72" i="18"/>
  <c r="J75" i="18" s="1"/>
  <c r="G77" i="18" s="1"/>
  <c r="G74" i="12"/>
  <c r="J77" i="12" s="1"/>
  <c r="G79" i="12" s="1"/>
  <c r="M67" i="27"/>
  <c r="J69" i="27" s="1"/>
  <c r="G73" i="13"/>
  <c r="J76" i="13" s="1"/>
  <c r="G78" i="13" s="1"/>
</calcChain>
</file>

<file path=xl/sharedStrings.xml><?xml version="1.0" encoding="utf-8"?>
<sst xmlns="http://schemas.openxmlformats.org/spreadsheetml/2006/main" count="2844" uniqueCount="1106">
  <si>
    <t>Outstanding Indebtness, January 1:</t>
  </si>
  <si>
    <t xml:space="preserve">  G.O. Bonds</t>
  </si>
  <si>
    <t xml:space="preserve">  Revenue Bonds</t>
  </si>
  <si>
    <t xml:space="preserve">  Other</t>
  </si>
  <si>
    <t xml:space="preserve">  Lease Purchase Principal</t>
  </si>
  <si>
    <t>We, the undersigned, officers of</t>
  </si>
  <si>
    <t>Special City &amp; County Highway</t>
  </si>
  <si>
    <t>County Equalization</t>
  </si>
  <si>
    <t>Expenditures from detail page:</t>
  </si>
  <si>
    <t>Special District Funds</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</si>
  <si>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</si>
  <si>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</si>
  <si>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</si>
  <si>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</si>
  <si>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</si>
  <si>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</si>
  <si>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</si>
  <si>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</si>
  <si>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</si>
  <si>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</si>
  <si>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</si>
  <si>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</si>
  <si>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</si>
  <si>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</si>
  <si>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</si>
  <si>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</si>
  <si>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</si>
  <si>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</si>
  <si>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</si>
  <si>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</si>
  <si>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</si>
  <si>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t>
  </si>
  <si>
    <t>**Note: These two block figures should agree.</t>
  </si>
  <si>
    <t>xxxxxxxxxxxxxxxxxxxx</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</si>
  <si>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</si>
  <si>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</si>
  <si>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</si>
  <si>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</si>
  <si>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</si>
  <si>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</si>
  <si>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</si>
  <si>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</si>
  <si>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Cash Balance Jan 1</t>
  </si>
  <si>
    <t xml:space="preserve">Ad Valorem Tax </t>
  </si>
  <si>
    <t>1. Input tab (inputPrYr) added column for the current year expenditures.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</si>
  <si>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</si>
  <si>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</si>
  <si>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</si>
  <si>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 xml:space="preserve">7. Instruction page have changed all reference for Bond &amp; Interest to Debt Service. </t>
  </si>
  <si>
    <t>10. Changed the Bond &amp; Interest tab (B&amp;I) to Debt Service tab (DebtService).</t>
  </si>
  <si>
    <t>11. Changed the revised date on all pages changed.</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</si>
  <si>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</si>
  <si>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</si>
  <si>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</si>
  <si>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</si>
  <si>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</si>
  <si>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</si>
  <si>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</si>
  <si>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</si>
  <si>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Table of Contents:</t>
  </si>
  <si>
    <t>Expenditures</t>
  </si>
  <si>
    <t>Statement of Indebtedness</t>
  </si>
  <si>
    <t>Statement of Lease-Purchases</t>
  </si>
  <si>
    <t>Fund</t>
  </si>
  <si>
    <t>K.S.A.</t>
  </si>
  <si>
    <t>TOTALS</t>
  </si>
  <si>
    <t>x</t>
  </si>
  <si>
    <t>Assisted by:</t>
  </si>
  <si>
    <t>Governing Body</t>
  </si>
  <si>
    <t>County Clerk</t>
  </si>
  <si>
    <t>Amount</t>
  </si>
  <si>
    <t>Mental Health</t>
  </si>
  <si>
    <t>Hospital</t>
  </si>
  <si>
    <t>TOTAL</t>
  </si>
  <si>
    <t>County Treas Motor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</si>
  <si>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</si>
  <si>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</si>
  <si>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</si>
  <si>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</si>
  <si>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</si>
  <si>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</si>
  <si>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</si>
  <si>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</si>
  <si>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</si>
  <si>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</si>
  <si>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</si>
  <si>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</si>
  <si>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</si>
  <si>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</si>
  <si>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</si>
  <si>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</si>
  <si>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</si>
  <si>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</si>
  <si>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</si>
  <si>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</si>
  <si>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</si>
  <si>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</si>
  <si>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</si>
  <si>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</si>
  <si>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</si>
  <si>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</si>
  <si>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County Commission</t>
  </si>
  <si>
    <t>County Treasurer</t>
  </si>
  <si>
    <t>Debt Service</t>
  </si>
  <si>
    <t>Economic Development</t>
  </si>
  <si>
    <t>Election</t>
  </si>
  <si>
    <t>Employee Benefits</t>
  </si>
  <si>
    <t xml:space="preserve">  Social Security</t>
  </si>
  <si>
    <t xml:space="preserve">  Medicare</t>
  </si>
  <si>
    <t xml:space="preserve">  Health Insurance</t>
  </si>
  <si>
    <t xml:space="preserve">  Retirement</t>
  </si>
  <si>
    <t xml:space="preserve">  Workers Compensation</t>
  </si>
  <si>
    <t xml:space="preserve">  Unemployment</t>
  </si>
  <si>
    <t>Extension Council</t>
  </si>
  <si>
    <t>Fair</t>
  </si>
  <si>
    <t>Fire</t>
  </si>
  <si>
    <t>Health</t>
  </si>
  <si>
    <t>Historical</t>
  </si>
  <si>
    <t>Law Enforcement</t>
  </si>
  <si>
    <t>Library</t>
  </si>
  <si>
    <t>Memorial</t>
  </si>
  <si>
    <t>Mental Retardation</t>
  </si>
  <si>
    <t>Noxious Weed Control</t>
  </si>
  <si>
    <t>Park &amp; Recreation</t>
  </si>
  <si>
    <t>Register of Deeds</t>
  </si>
  <si>
    <t>Road &amp; Bridge</t>
  </si>
  <si>
    <t>Services for the Aged</t>
  </si>
  <si>
    <t>Soil Conservation</t>
  </si>
  <si>
    <t>Solid Waste</t>
  </si>
  <si>
    <t>Tort Liability</t>
  </si>
  <si>
    <t xml:space="preserve">  Judgments</t>
  </si>
  <si>
    <t>Cultural</t>
  </si>
  <si>
    <t>Other</t>
  </si>
  <si>
    <t>Page No.</t>
  </si>
  <si>
    <t xml:space="preserve">     FUND</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</si>
  <si>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</si>
  <si>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</si>
  <si>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</si>
  <si>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</si>
  <si>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</si>
  <si>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</si>
  <si>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</si>
  <si>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</si>
  <si>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</si>
  <si>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</si>
  <si>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Date</t>
  </si>
  <si>
    <t>Rate</t>
  </si>
  <si>
    <t xml:space="preserve">  Date Due</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</si>
  <si>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</si>
  <si>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</si>
  <si>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</si>
  <si>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</si>
  <si>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</si>
  <si>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</si>
  <si>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</si>
  <si>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</si>
  <si>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</si>
  <si>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</si>
  <si>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</si>
  <si>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</si>
  <si>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</si>
  <si>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</si>
  <si>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</si>
  <si>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</si>
  <si>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</si>
  <si>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</si>
  <si>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</si>
  <si>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</si>
  <si>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</si>
  <si>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</si>
  <si>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</si>
  <si>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</si>
  <si>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</si>
  <si>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</si>
  <si>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</si>
  <si>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</si>
  <si>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16/20M Vehicle Tax Estimate</t>
  </si>
  <si>
    <t>16/20M Vehicle Tax</t>
  </si>
  <si>
    <t xml:space="preserve">The governing body of </t>
  </si>
  <si>
    <t>Gross Earnings (Intangible) Tax</t>
  </si>
  <si>
    <t>Balance On</t>
  </si>
  <si>
    <t>16/20M Veh</t>
  </si>
  <si>
    <t>Unencumbered Cash Balance Jan 1</t>
  </si>
  <si>
    <t>Unencumbered Cash Balance Dec 31</t>
  </si>
  <si>
    <t>Receipts:</t>
  </si>
  <si>
    <t>79-1946</t>
  </si>
  <si>
    <t>Schedule of Transfers</t>
  </si>
  <si>
    <t>(Beginning Principal)</t>
  </si>
  <si>
    <t>Estimated Tax Rate is subject to change depending on the final assessed valuation.</t>
  </si>
  <si>
    <t>Lease Pur. Princ.</t>
  </si>
  <si>
    <t xml:space="preserve">                                                                          16/20M Vehicle Factor</t>
  </si>
  <si>
    <t xml:space="preserve">                                         Recreational Vehicle Factor</t>
  </si>
  <si>
    <t>County Clerk's Use Only</t>
  </si>
  <si>
    <t>November 1st Valuation</t>
  </si>
  <si>
    <t>Address:</t>
  </si>
  <si>
    <t>Fund Names for all funds with a tax levy:</t>
  </si>
  <si>
    <t>10-113</t>
  </si>
  <si>
    <t>In Lieu of Tax (IRB)</t>
  </si>
  <si>
    <t>Neighborhood Revitalization</t>
  </si>
  <si>
    <t>LAVTR</t>
  </si>
  <si>
    <t>City and County Revenue Sharing</t>
  </si>
  <si>
    <t>Computation of Delinquency</t>
  </si>
  <si>
    <r>
      <t>**</t>
    </r>
    <r>
      <rPr>
        <u/>
        <sz val="12"/>
        <rFont val="Times New Roman"/>
        <family val="1"/>
      </rPr>
      <t>Note</t>
    </r>
    <r>
      <rPr>
        <sz val="12"/>
        <rFont val="Times New Roman"/>
        <family val="1"/>
      </rPr>
      <t>: The delinquency rate can be up to 5% more than the actual delinquency rate from the preivous year.</t>
    </r>
  </si>
  <si>
    <t>Adjusted Totals</t>
  </si>
  <si>
    <t xml:space="preserve">Total Other </t>
  </si>
  <si>
    <r>
      <rPr>
        <sz val="12"/>
        <color indexed="10"/>
        <rFont val="Times New Roman"/>
        <family val="1"/>
      </rPr>
      <t>*</t>
    </r>
    <r>
      <rPr>
        <sz val="12"/>
        <rFont val="Times New Roman"/>
        <family val="1"/>
      </rPr>
      <t>Expenditures</t>
    </r>
    <r>
      <rPr>
        <sz val="12"/>
        <color indexed="10"/>
        <rFont val="Times New Roman"/>
        <family val="1"/>
      </rPr>
      <t>*</t>
    </r>
  </si>
  <si>
    <t>Transfers - Counties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</si>
  <si>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</si>
  <si>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</si>
  <si>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</si>
  <si>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</si>
  <si>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</si>
  <si>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</si>
  <si>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</si>
  <si>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</si>
  <si>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</si>
  <si>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</si>
  <si>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</si>
  <si>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</si>
  <si>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</si>
  <si>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</si>
  <si>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</si>
  <si>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</si>
  <si>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</si>
  <si>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</si>
  <si>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</si>
  <si>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</si>
  <si>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</si>
  <si>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</si>
  <si>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</si>
  <si>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</si>
  <si>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</si>
  <si>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</si>
  <si>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</si>
  <si>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</si>
  <si>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</si>
  <si>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</si>
  <si>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</si>
  <si>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</si>
  <si>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</si>
  <si>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</si>
  <si>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</si>
  <si>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</si>
  <si>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</si>
  <si>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Date:</t>
  </si>
  <si>
    <t>Time:</t>
  </si>
  <si>
    <t>Location:</t>
  </si>
  <si>
    <t>Available at:</t>
  </si>
  <si>
    <t>7:00 PM or 7:00 AM</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</si>
  <si>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</si>
  <si>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</si>
  <si>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</si>
  <si>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</si>
  <si>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</si>
  <si>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</si>
  <si>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</si>
  <si>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</si>
  <si>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</si>
  <si>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</si>
  <si>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</si>
  <si>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</si>
  <si>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</si>
  <si>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</si>
  <si>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</si>
  <si>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</si>
  <si>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</si>
  <si>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</si>
  <si>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</si>
  <si>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</si>
  <si>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answering objections of taxpayers relating to the proposed use of all funds and the amount of ad valorem tax.</t>
  </si>
  <si>
    <t>the Neighborhood Revitalization Rebate table.</t>
  </si>
  <si>
    <r>
      <t>Adjustments</t>
    </r>
    <r>
      <rPr>
        <sz val="12"/>
        <color indexed="10"/>
        <rFont val="Times New Roman"/>
        <family val="1"/>
      </rPr>
      <t>*</t>
    </r>
  </si>
  <si>
    <t>*Note:</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</si>
  <si>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</si>
  <si>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</si>
  <si>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</si>
  <si>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</si>
  <si>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</si>
  <si>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</si>
  <si>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</si>
  <si>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</si>
  <si>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</si>
  <si>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</si>
  <si>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</si>
  <si>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</si>
  <si>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</si>
  <si>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</si>
  <si>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</si>
  <si>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</si>
  <si>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</si>
  <si>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</si>
  <si>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</si>
  <si>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</si>
  <si>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</si>
  <si>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</si>
  <si>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</si>
  <si>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</si>
  <si>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</si>
  <si>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</si>
  <si>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</si>
  <si>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</si>
  <si>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 xml:space="preserve"> Purchased</t>
  </si>
  <si>
    <t>Items</t>
  </si>
  <si>
    <t xml:space="preserve">Amounts used in lieu of </t>
  </si>
  <si>
    <t>Delinquency % used in this budget will be shown on all fund pages with a tax levy**</t>
  </si>
  <si>
    <t>Expenditures Must Be Changed by:</t>
  </si>
  <si>
    <t xml:space="preserve">Prior Year </t>
  </si>
  <si>
    <t xml:space="preserve">Current Year </t>
  </si>
  <si>
    <t xml:space="preserve">Proposed Budget </t>
  </si>
  <si>
    <t>Allocation of Vehicle Taxes</t>
  </si>
  <si>
    <t>Email:</t>
  </si>
  <si>
    <t>.</t>
  </si>
  <si>
    <t>1.  "Budget Authority Amount" cell added to budget year column of all funds.</t>
  </si>
  <si>
    <t>1.  Several changes to workbook associated with 2014 HB 2047.</t>
  </si>
  <si>
    <t>Input Sheet for County1 Budget Workbook</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</si>
  <si>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</si>
  <si>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</si>
  <si>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</si>
  <si>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</si>
  <si>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</si>
  <si>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The input for the following comes directly from </t>
  </si>
  <si>
    <t>the -1 Budget, Certificate Page:</t>
  </si>
  <si>
    <r>
      <rPr>
        <b/>
        <sz val="12"/>
        <color indexed="10"/>
        <rFont val="Times New Roman"/>
        <family val="1"/>
      </rPr>
      <t>*</t>
    </r>
    <r>
      <rPr>
        <b/>
        <sz val="12"/>
        <rFont val="Times New Roman"/>
        <family val="1"/>
      </rPr>
      <t>If amended, then use the amended figures.</t>
    </r>
    <r>
      <rPr>
        <b/>
        <sz val="12"/>
        <color indexed="10"/>
        <rFont val="Times New Roman"/>
        <family val="1"/>
      </rPr>
      <t>*</t>
    </r>
  </si>
  <si>
    <t>How to Compute the Value of One Mill, and the Impact of Tax Dollars and Assessed Valuation on Mill Rates</t>
  </si>
  <si>
    <t>Commercial Vehicle Tax Estimate</t>
  </si>
  <si>
    <t>Watercraft Tax Estimate</t>
  </si>
  <si>
    <t>Comm Veh</t>
  </si>
  <si>
    <t>Watercraft</t>
  </si>
  <si>
    <t xml:space="preserve">Allocation of MV, RV, 16/20M, Commercial Vehicle, and Watercraft Tax Estimates </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</si>
  <si>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</si>
  <si>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</si>
  <si>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</si>
  <si>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</si>
  <si>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</si>
  <si>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</si>
  <si>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</si>
  <si>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</si>
  <si>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</si>
  <si>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1.  Inserted 2014 CPI percentage on computation tab.</t>
  </si>
  <si>
    <t>68-5,101</t>
  </si>
  <si>
    <t>1.  Inserted 2015 CPI percentage on computation tab.</t>
  </si>
  <si>
    <t xml:space="preserve">CPA Summary </t>
  </si>
  <si>
    <t>CPA Summary</t>
  </si>
  <si>
    <t>Expiration of Property Tax Abatement</t>
  </si>
  <si>
    <t xml:space="preserve">CPA Summary for Assumptions </t>
  </si>
  <si>
    <t>Revenue Neutral Rate</t>
  </si>
  <si>
    <t>Page 6b</t>
  </si>
  <si>
    <t>Page 6c</t>
  </si>
  <si>
    <t>Page 6d</t>
  </si>
  <si>
    <t>Page 6e</t>
  </si>
  <si>
    <t>Total - Page 6c</t>
  </si>
  <si>
    <t>Total - Page 6b</t>
  </si>
  <si>
    <t>Total - Page 6d</t>
  </si>
  <si>
    <t>Total - Page 6e</t>
  </si>
  <si>
    <t>Total - Page 6f</t>
  </si>
  <si>
    <t>Page 6f</t>
  </si>
  <si>
    <t>Page No. 6</t>
  </si>
  <si>
    <t>Page No. 6a</t>
  </si>
  <si>
    <t>Revenue Neutral Rate **</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</si>
  <si>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</si>
  <si>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</si>
  <si>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</si>
  <si>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</si>
  <si>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</si>
  <si>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Tab E</t>
  </si>
  <si>
    <t>Tab D</t>
  </si>
  <si>
    <t>Tab C</t>
  </si>
  <si>
    <t>Tab B</t>
  </si>
  <si>
    <t>Tab A</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</si>
  <si>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</si>
  <si>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</si>
  <si>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</si>
  <si>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</si>
  <si>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</si>
  <si>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</si>
  <si>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</si>
  <si>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</si>
  <si>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</si>
  <si>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</si>
  <si>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3a. Made the total expenditures block for the actual and current year to turn 'Red' if violation occurs.</t>
  </si>
  <si>
    <t>6. Neighborhood Revitalization (nhood) took off the protection for the page number and made the estimate rebate round the figures to whole dollars.</t>
  </si>
  <si>
    <t>8. Added to the instruction page lines 11a - 11c to provide a little more insight for the Neighborhood Revitalization rebate.</t>
  </si>
  <si>
    <t>9. Added instruction line 2b to explain how to delete delinquency rate from tax levy fund pages.</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</si>
  <si>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</si>
  <si>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</si>
  <si>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</si>
  <si>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</si>
  <si>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</si>
  <si>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</si>
  <si>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</si>
  <si>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</si>
  <si>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</si>
  <si>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</si>
  <si>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</si>
  <si>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Notice of Revenue Neutral Rate Intent</t>
  </si>
  <si>
    <t>Yes, we intend to exceed the Revenue Neutral Rate and our proposed mill levy rate is _________.  The date of our hearing is ___________ at _____ AM/PM and will be held at ________________ address in _____________, Kansas.</t>
  </si>
  <si>
    <t>WITNESS my hand and official seal on ____________, 20___.</t>
  </si>
  <si>
    <t>(Seal)</t>
  </si>
  <si>
    <t>Clerk or Officer of Governing Body</t>
  </si>
  <si>
    <t>Resolution No. ______</t>
  </si>
  <si>
    <t>A RESOLUTION OF THE County OF __________, KANSAS TO LEVY A PROPERTY TAX RATE EXCEEDING THE REVENUE NEUTRAL RATE;</t>
  </si>
  <si>
    <t xml:space="preserve">           WHEREAS, the Revenue Neutral Rate for the County of __________ was calculated as _________ mills by the ____________ County Clerk; and</t>
  </si>
  <si>
    <t xml:space="preserve">           WHEREAS, the budget proposed by the Governing Body of the County of __________ will require the levy of a property tax rate exceeding the Revenue Neutral Rate; and</t>
  </si>
  <si>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</si>
  <si>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t xml:space="preserve">          WHEREAS, the Governing Body of the County of ____________, having heard testimony, still finds it necessary to exceed the Revenue Neutral Rate.</t>
  </si>
  <si>
    <t xml:space="preserve">          NOW, THEREFORE, BE IT RESOLVED BY THE GOVERNING BODY OF THE COUNTY OF __________:</t>
  </si>
  <si>
    <t xml:space="preserve">          The County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</si>
  <si>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</si>
  <si>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</si>
  <si>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______________________________     ______________________________</t>
  </si>
  <si>
    <t xml:space="preserve">          Attested:</t>
  </si>
  <si>
    <t xml:space="preserve">          ______________________________</t>
  </si>
  <si>
    <t xml:space="preserve">          County Clerk</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</si>
  <si>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</si>
  <si>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</si>
  <si>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</si>
  <si>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</si>
  <si>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</si>
  <si>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</si>
  <si>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</si>
  <si>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</si>
  <si>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</si>
  <si>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</si>
  <si>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</si>
  <si>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August 12, 2022</t>
  </si>
  <si>
    <t>City Hall</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</si>
  <si>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</si>
  <si>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</si>
  <si>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</si>
  <si>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</si>
  <si>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</si>
  <si>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</si>
  <si>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</si>
  <si>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</si>
  <si>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</si>
  <si>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</si>
  <si>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</si>
  <si>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</si>
  <si>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</si>
  <si>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</si>
  <si>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</si>
  <si>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</si>
  <si>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</si>
  <si>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</si>
  <si>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</si>
  <si>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</si>
  <si>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</si>
  <si>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</si>
  <si>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</si>
  <si>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</si>
  <si>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</si>
  <si>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</si>
  <si>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</si>
  <si>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</si>
  <si>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</si>
  <si>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</si>
  <si>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</si>
  <si>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</si>
  <si>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</si>
  <si>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</si>
  <si>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</si>
  <si>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</si>
  <si>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</si>
  <si>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</si>
  <si>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</si>
  <si>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</si>
  <si>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</si>
  <si>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</si>
  <si>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</si>
  <si>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</si>
  <si>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</si>
  <si>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</si>
  <si>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</si>
  <si>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</si>
  <si>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</si>
  <si>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</si>
  <si>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</si>
  <si>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</si>
  <si>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</si>
  <si>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</si>
  <si>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</si>
  <si>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</si>
  <si>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</si>
  <si>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</si>
  <si>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</si>
  <si>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</si>
  <si>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</si>
  <si>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</si>
  <si>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</si>
  <si>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</si>
  <si>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</si>
  <si>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</si>
  <si>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</si>
  <si>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</si>
  <si>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</si>
  <si>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</si>
  <si>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</si>
  <si>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</si>
  <si>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</si>
  <si>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</si>
  <si>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</si>
  <si>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</si>
  <si>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</si>
  <si>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</si>
  <si>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</si>
  <si>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</si>
  <si>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</si>
  <si>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</si>
  <si>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</si>
  <si>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</si>
  <si>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</si>
  <si>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</si>
  <si>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</si>
  <si>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</si>
  <si>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***If leasing/renting with no intent to purchase, do not list--such transactions are not lease-purchases.</t>
  </si>
  <si>
    <t>Type of Debt</t>
  </si>
  <si>
    <t>Date of Issue</t>
  </si>
  <si>
    <t>Date of Retirement</t>
  </si>
  <si>
    <t>Interest Rate %</t>
  </si>
  <si>
    <t>Expenditure Fund Transferred From:</t>
  </si>
  <si>
    <t>Receipt Fund Transferred To:</t>
  </si>
  <si>
    <t>Transfers Authorized by Statute</t>
  </si>
  <si>
    <t>Amount Issue</t>
  </si>
  <si>
    <t>Budget Authority for Expenditures</t>
  </si>
  <si>
    <t>Final Tax Rate (County Clerk's Use Only)</t>
  </si>
  <si>
    <t>Budget Hearing Notice</t>
  </si>
  <si>
    <t xml:space="preserve">Budget Hearing Notice 2 </t>
  </si>
  <si>
    <t>Combined Rate and Budget Hearing</t>
  </si>
  <si>
    <t>Combined Rate and Budget Hearing 2</t>
  </si>
  <si>
    <t>RNR Hearing Notice</t>
  </si>
  <si>
    <t xml:space="preserve">Revenue Neutral Rate </t>
  </si>
  <si>
    <t>__________________________  __________________________</t>
  </si>
  <si>
    <t>_______________________________  _______________________________</t>
  </si>
  <si>
    <t>Attest: _____________________,</t>
  </si>
  <si>
    <t xml:space="preserve">Is rate hearing/resolution required to exceed Revenue Neutral Rate? </t>
  </si>
  <si>
    <t>**Revenue Neutral Rate as defined by KSA 79-2988</t>
  </si>
  <si>
    <t>Actual Tax Rate*</t>
  </si>
  <si>
    <t xml:space="preserve"> Expenditures</t>
  </si>
  <si>
    <t>Proposed Estimated Tax Rate*</t>
  </si>
  <si>
    <t>Proposed Estimted Tax Rate*</t>
  </si>
  <si>
    <t>Revenue Neutral Rate**</t>
  </si>
  <si>
    <t>NOTICE OF HEARING TO EXCEED REVENUE NEUTRAL RATE AND BUDGET HEARING</t>
  </si>
  <si>
    <t>answering objections of taxpayers relating to the proposed use of all funds and the amount of ad valorem tax and Revenue Neutral Rate.</t>
  </si>
  <si>
    <t>Estimated Mill Rate &amp;
 Revenue Neutral Rate Comparison</t>
  </si>
  <si>
    <t>Revenue Neutral Rate (KSA 79-2988)</t>
  </si>
  <si>
    <t>Is a rate hearing/resolution required:</t>
  </si>
  <si>
    <t>** Note: The Total Detail Expenditures amounts should agree to Road Subtotal amounts.</t>
  </si>
  <si>
    <t>Total Detail Expenditures**</t>
  </si>
  <si>
    <t>Total - Page6e</t>
  </si>
  <si>
    <t>Roll Call Vote</t>
  </si>
  <si>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</si>
  <si>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</si>
  <si>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</si>
  <si>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</si>
  <si>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</si>
  <si>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</si>
  <si>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</si>
  <si>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</si>
  <si>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</si>
  <si>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</si>
  <si>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</si>
  <si>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</si>
  <si>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</si>
  <si>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</si>
  <si>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</si>
  <si>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</si>
  <si>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</si>
  <si>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</si>
  <si>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</si>
  <si>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</si>
  <si>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</si>
  <si>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</si>
  <si>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</si>
  <si>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</si>
  <si>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</si>
  <si>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</si>
  <si>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</si>
  <si>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</si>
  <si>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</si>
  <si>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</si>
  <si>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</si>
  <si>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</si>
  <si>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</si>
  <si>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 xml:space="preserve"> </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</si>
  <si>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</si>
  <si>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</si>
  <si>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</si>
  <si>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</si>
  <si>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</si>
  <si>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</si>
  <si>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</si>
  <si>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</si>
  <si>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</si>
  <si>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</si>
  <si>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</si>
  <si>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</si>
  <si>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</si>
  <si>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</si>
  <si>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</si>
  <si>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</si>
  <si>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</si>
  <si>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</si>
  <si>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</si>
  <si>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</si>
  <si>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</si>
  <si>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</si>
  <si>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</si>
  <si>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</si>
  <si>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</si>
  <si>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</si>
  <si>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</si>
  <si>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</si>
  <si>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</si>
  <si>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</si>
  <si>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</si>
  <si>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</si>
  <si>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</si>
  <si>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</si>
  <si>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</si>
  <si>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</si>
  <si>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</si>
  <si>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</si>
  <si>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</si>
  <si>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</si>
  <si>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</si>
  <si>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</si>
  <si>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</si>
  <si>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</si>
  <si>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</si>
  <si>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</si>
  <si>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</si>
  <si>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</si>
  <si>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</si>
  <si>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</si>
  <si>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</si>
  <si>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</si>
  <si>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</si>
  <si>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</si>
  <si>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</si>
  <si>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</si>
  <si>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</si>
  <si>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</si>
  <si>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</si>
  <si>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</si>
  <si>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</si>
  <si>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</si>
  <si>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</si>
  <si>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</si>
  <si>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</si>
  <si>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</si>
  <si>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</si>
  <si>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</si>
  <si>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</si>
  <si>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</si>
  <si>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</si>
  <si>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</si>
  <si>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</si>
  <si>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</si>
  <si>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</si>
  <si>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</si>
  <si>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</si>
  <si>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</si>
  <si>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</si>
  <si>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</si>
  <si>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</si>
  <si>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</si>
  <si>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</si>
  <si>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</si>
  <si>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</si>
  <si>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</si>
  <si>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</si>
  <si>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</si>
  <si>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</si>
  <si>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</si>
  <si>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</si>
  <si>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</si>
  <si>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</si>
  <si>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</si>
  <si>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</si>
  <si>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</si>
  <si>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</si>
  <si>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</si>
  <si>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</si>
  <si>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</si>
  <si>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</si>
  <si>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</si>
  <si>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</si>
  <si>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</si>
  <si>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</si>
  <si>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</si>
  <si>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</si>
  <si>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</si>
  <si>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</si>
  <si>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</si>
  <si>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</si>
  <si>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</si>
  <si>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</si>
  <si>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</si>
  <si>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</si>
  <si>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County Clerk attest signature line on Cert 2 page.</t>
  </si>
  <si>
    <t>3. Added 'SAMPLE Roll Call to Exceed RNR' tab.</t>
  </si>
  <si>
    <t>4. Combined 'Mill Rate Computation' tab and 'Helpful Links' tab into new tab labeled 'Budget Tools.'</t>
  </si>
  <si>
    <t>5. Added explanation of how the Revenue Neutral Rate is calculated to 'Budget Tools' tab.</t>
  </si>
  <si>
    <t>6. Updated spacing and formatting to Tab A, Tab B, Tab C, Tab D and Tab E.</t>
  </si>
  <si>
    <t>The following changes were made to this workbook during February 2022</t>
  </si>
  <si>
    <t>5. Updated certificate/table of contents and page numbering for changes</t>
  </si>
  <si>
    <t>The following changes were made to this workbook during March 2020</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</si>
  <si>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</si>
  <si>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</si>
  <si>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</si>
  <si>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</si>
  <si>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</si>
  <si>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</si>
  <si>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</si>
  <si>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</si>
  <si>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</si>
  <si>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</si>
  <si>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</si>
  <si>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</si>
  <si>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</si>
  <si>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</si>
  <si>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</si>
  <si>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</si>
  <si>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</si>
  <si>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</si>
  <si>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</si>
  <si>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</si>
  <si>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</si>
  <si>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</si>
  <si>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</si>
  <si>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</si>
  <si>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</si>
  <si>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</si>
  <si>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</si>
  <si>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</si>
  <si>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</si>
  <si>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</si>
  <si>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</si>
  <si>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</si>
  <si>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1/21/15</t>
  </si>
  <si>
    <t>2.  Corrected formula in cell d24 of library grant tab.</t>
  </si>
  <si>
    <t>The following changes were made to this workbook on 9/22/14</t>
  </si>
  <si>
    <t>The following changes were made to this workbook on 9/16/14</t>
  </si>
  <si>
    <t>1.  Corrected the print margins of the general fund tab.</t>
  </si>
  <si>
    <t>The following changes were made to this workbook on 8/4/14</t>
  </si>
  <si>
    <t>1.  Update of State Library contact name on library grant tab.</t>
  </si>
  <si>
    <t>The following changes were made to this workbook on 7/9/14</t>
  </si>
  <si>
    <t>1.  Correction to formula in cell j44 of the computation tab worksheet.</t>
  </si>
  <si>
    <t>The following changes were made to this workbook on 5/7/14</t>
  </si>
  <si>
    <t>The following changes were made to this workbook on 4/2/14</t>
  </si>
  <si>
    <t>The following changes were made to this workbook on 1/13/14</t>
  </si>
  <si>
    <t>1.  Corrected formulas for column totals on general fund detail page.</t>
  </si>
  <si>
    <t>The following changes were made to this workbook on 3/21/13</t>
  </si>
  <si>
    <t>1.  Instruction tab narrative modification</t>
  </si>
  <si>
    <t>The following changes were made to this workbook on 1/31/13</t>
  </si>
  <si>
    <t>1.  Corrected formula in cell e28 of Library Grant tab</t>
  </si>
  <si>
    <t>The following changes were made to this workbook on 10/8/12</t>
  </si>
  <si>
    <t>1.  Added "ordinance required?  yes/no" message to area adjacent to each tax levy fund</t>
  </si>
  <si>
    <t>The following changes were made to this workbook on 4/10/12</t>
  </si>
  <si>
    <t>1. Corrected addition computation in column D, inputPrYr tab</t>
  </si>
  <si>
    <t>The following changes were made to this workbook on 3/22/12</t>
  </si>
  <si>
    <t>1. Concantenate at line 9 of the Certificate page changed to reference cell F1</t>
  </si>
  <si>
    <t>2. Corrected misspelling of word "limitations" on line 9 of the Certificate page.</t>
  </si>
  <si>
    <t>The following changes were made to this workbook on 2/22/12</t>
  </si>
  <si>
    <t>1. Library Grant tab, updated State Library e-mail contact address</t>
  </si>
  <si>
    <t>The following changes were made to this workbook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</si>
  <si>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</si>
  <si>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</si>
  <si>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</si>
  <si>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</si>
  <si>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</si>
  <si>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</si>
  <si>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</si>
  <si>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</si>
  <si>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</si>
  <si>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</si>
  <si>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</si>
  <si>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</si>
  <si>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</si>
  <si>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</si>
  <si>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</si>
  <si>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</si>
  <si>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</si>
  <si>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</si>
  <si>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</si>
  <si>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</si>
  <si>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</si>
  <si>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</si>
  <si>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</si>
  <si>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</si>
  <si>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</si>
  <si>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</si>
  <si>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</si>
  <si>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</si>
  <si>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</si>
  <si>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</si>
  <si>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</si>
  <si>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</si>
  <si>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</si>
  <si>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</si>
  <si>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</si>
  <si>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</si>
  <si>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</si>
  <si>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</si>
  <si>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</si>
  <si>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</si>
  <si>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</si>
  <si>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</si>
  <si>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</si>
  <si>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</si>
  <si>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The following changes were made to this workbook on 4/19/11</t>
  </si>
  <si>
    <t>1. Summ tab changed proposed year expenditure column to 'Budget Authority for Expenditures'</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</si>
  <si>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</si>
  <si>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</si>
  <si>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</si>
  <si>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</si>
  <si>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</si>
  <si>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</si>
  <si>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</si>
  <si>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</si>
  <si>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</si>
  <si>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</si>
  <si>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</si>
  <si>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</si>
  <si>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</si>
  <si>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</si>
  <si>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</si>
  <si>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</si>
  <si>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</si>
  <si>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</si>
  <si>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</si>
  <si>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</si>
  <si>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</si>
  <si>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</si>
  <si>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</si>
  <si>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</si>
  <si>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</si>
  <si>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</si>
  <si>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</si>
  <si>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</si>
  <si>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</si>
  <si>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</si>
  <si>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</si>
  <si>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</si>
  <si>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</si>
  <si>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</si>
  <si>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The following changes were made to this workbook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</si>
  <si>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</si>
  <si>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</si>
  <si>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</si>
  <si>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12/28/09</t>
  </si>
  <si>
    <t>1. Nhood tab added note for computing table</t>
  </si>
  <si>
    <t>2. SpecHwy and No Levy Page 12 tabs changed conditional statements</t>
  </si>
  <si>
    <t>The following changes were made to this workbook on 12/08/09</t>
  </si>
  <si>
    <t>1. Instruction tab, added step 3 for 'inputBudSum'</t>
  </si>
  <si>
    <t>2. Added tab 'inputBudSum'</t>
  </si>
  <si>
    <t>3. Changed Budget Summary replacing the green areas for date/time/location so info comes from inputBudSum tab</t>
  </si>
  <si>
    <t>4. Deleted lines on Budget Summary reference in #3</t>
  </si>
  <si>
    <t>The following changes were made to this workbook on 10/2/09</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</si>
  <si>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</si>
  <si>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</si>
  <si>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</si>
  <si>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</si>
  <si>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</si>
  <si>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</si>
  <si>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</si>
  <si>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</si>
  <si>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</si>
  <si>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</si>
  <si>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</si>
  <si>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</si>
  <si>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</si>
  <si>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</si>
  <si>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</si>
  <si>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</si>
  <si>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</si>
  <si>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</si>
  <si>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</si>
  <si>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</si>
  <si>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</si>
  <si>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</si>
  <si>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</si>
  <si>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2. Statement of Indebtedness (debt) added lines to all categories.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</si>
  <si>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</si>
  <si>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</si>
  <si>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</si>
  <si>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</si>
  <si>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</si>
  <si>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</si>
  <si>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</si>
  <si>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The following were changed to this spreadsheet on 7/01/08</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</si>
  <si>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</si>
  <si>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</si>
  <si>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</si>
  <si>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</si>
  <si>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</si>
  <si>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</si>
  <si>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</si>
  <si>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</si>
  <si>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2. All pages have a revision date.</t>
  </si>
  <si>
    <t xml:space="preserve">3. Hard coded the Bond &amp; Interest on Certificate and Summary pages. </t>
  </si>
  <si>
    <t xml:space="preserve">4.  All dates on the spreadsheet are controlled from input on the input Prior Year page.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</si>
  <si>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</si>
  <si>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</si>
  <si>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</si>
  <si>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</si>
  <si>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</si>
  <si>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</si>
  <si>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11. Added Neighborhood Revitalization, LAVTR, City and County Revenue Sharing, and Slider to the input page and to the General Fund page.</t>
  </si>
  <si>
    <t>12. Changed the Budget Summary Heading to include Actual/Estimate/Proposed with the budget year.</t>
  </si>
  <si>
    <t>13. Changed the delinquency rate formula for all levy funds.</t>
  </si>
  <si>
    <t>14. Changed the Certificate page so the county name flows instead of having unneeded spaces.</t>
  </si>
  <si>
    <t>15. Using the actual ad valorem rates from the Clerk's information versus from the Certificate page.</t>
  </si>
  <si>
    <t>16. Delinquency rate for actual for 3 decimal and note that rate can be up to 5% over the actual rate.</t>
  </si>
  <si>
    <t>17. Computation to Determine Limit changed the note on bottom to include publish ordinance and attach the published ordinance to the budget.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</si>
  <si>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</si>
  <si>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</si>
  <si>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</si>
  <si>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</si>
  <si>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</si>
  <si>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</si>
  <si>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</si>
  <si>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</si>
  <si>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</si>
  <si>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</si>
  <si>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</si>
  <si>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</si>
  <si>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</si>
  <si>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</si>
  <si>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</si>
  <si>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</si>
  <si>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Attest: ___________________________,</t>
  </si>
  <si>
    <t>Conservation</t>
  </si>
  <si>
    <t>Appraiser</t>
  </si>
  <si>
    <t>Noxious Weed</t>
  </si>
  <si>
    <t>Noxious Weed Chemical</t>
  </si>
  <si>
    <t>Elderly</t>
  </si>
  <si>
    <t>Mental Health Workshop</t>
  </si>
  <si>
    <t>Community Mental Health</t>
  </si>
  <si>
    <t>Employee Benefit</t>
  </si>
  <si>
    <t>Bond &amp; Interest</t>
  </si>
  <si>
    <t>Capital Improvement</t>
  </si>
  <si>
    <t>Diversion</t>
  </si>
  <si>
    <t>Central Kitchen</t>
  </si>
  <si>
    <t>Title III</t>
  </si>
  <si>
    <t>New Sales Tax</t>
  </si>
  <si>
    <t>FEMA</t>
  </si>
  <si>
    <t>911 Fund</t>
  </si>
  <si>
    <t>Equipment Reserve</t>
  </si>
  <si>
    <t>CARES/ARPA</t>
  </si>
  <si>
    <t>2-129</t>
  </si>
  <si>
    <t>2-1907b</t>
  </si>
  <si>
    <t>19-439</t>
  </si>
  <si>
    <t>2-1318</t>
  </si>
  <si>
    <t>19-3435a</t>
  </si>
  <si>
    <t>2-610</t>
  </si>
  <si>
    <t>12-1680</t>
  </si>
  <si>
    <t>19-4102</t>
  </si>
  <si>
    <t>65-204</t>
  </si>
  <si>
    <t>19-4004</t>
  </si>
  <si>
    <t>65-212</t>
  </si>
  <si>
    <t>12-16,102</t>
  </si>
  <si>
    <t>Doniphan County</t>
  </si>
  <si>
    <t>Wayne Grable</t>
  </si>
  <si>
    <t>Chairman</t>
  </si>
  <si>
    <t>9:30 A.M.</t>
  </si>
  <si>
    <t>Doniphan County Courthouse 120 E Chestnut St Troy, KS</t>
  </si>
  <si>
    <t>Doniphan County Clerk's Office</t>
  </si>
  <si>
    <t>Peggy Franken, County Clerk</t>
  </si>
  <si>
    <t>PO Box 278</t>
  </si>
  <si>
    <t>Troy, KS  66087</t>
  </si>
  <si>
    <t>clerk@dpcountyks.com</t>
  </si>
  <si>
    <t>Liquor Tax</t>
  </si>
  <si>
    <t>Road and Bridge</t>
  </si>
  <si>
    <t>79-2934</t>
  </si>
  <si>
    <t>12-196</t>
  </si>
  <si>
    <t>19-119</t>
  </si>
  <si>
    <t>Officers Fees</t>
  </si>
  <si>
    <t>Reimbursements</t>
  </si>
  <si>
    <t>Farm Income</t>
  </si>
  <si>
    <t>911 Dispatch</t>
  </si>
  <si>
    <t>Emergency Management</t>
  </si>
  <si>
    <t>Road &amp; Bridge Office</t>
  </si>
  <si>
    <t>Courthouse General</t>
  </si>
  <si>
    <t>Special MVT</t>
  </si>
  <si>
    <t>County Attorney</t>
  </si>
  <si>
    <t>Health Officer</t>
  </si>
  <si>
    <t>Personnel</t>
  </si>
  <si>
    <t xml:space="preserve">  Personnel</t>
  </si>
  <si>
    <t xml:space="preserve">   Personnel</t>
  </si>
  <si>
    <t>Health Officer Fund</t>
  </si>
  <si>
    <t>Insurance</t>
  </si>
  <si>
    <t>Interfund Transfer- Sales Tax</t>
  </si>
  <si>
    <t>Personnel Services</t>
  </si>
  <si>
    <t>Contractual Services</t>
  </si>
  <si>
    <t>Commodities - Misc</t>
  </si>
  <si>
    <t>Commodities - Repairs</t>
  </si>
  <si>
    <t>Commodities- Fuel</t>
  </si>
  <si>
    <t>Capital Outlay</t>
  </si>
  <si>
    <t>Capital Outlay - Rock</t>
  </si>
  <si>
    <t>Capital Outlay - Chip Seal</t>
  </si>
  <si>
    <t>Capital Outlay - Bridge Repair</t>
  </si>
  <si>
    <t>Equipment Leases</t>
  </si>
  <si>
    <t>Equipment Reserve Transfer</t>
  </si>
  <si>
    <t>Appropriations</t>
  </si>
  <si>
    <t xml:space="preserve">Personnel </t>
  </si>
  <si>
    <t>Contractual</t>
  </si>
  <si>
    <t>Commodities</t>
  </si>
  <si>
    <t>Capuital Outlay</t>
  </si>
  <si>
    <t>Transfer</t>
  </si>
  <si>
    <t>Collections</t>
  </si>
  <si>
    <t>Commodoties</t>
  </si>
  <si>
    <t>Rent</t>
  </si>
  <si>
    <t>Transfers to Title III</t>
  </si>
  <si>
    <t xml:space="preserve">Doniphan County Events </t>
  </si>
  <si>
    <t>Grants Income</t>
  </si>
  <si>
    <t>Economic Dev. Incentives/Grants</t>
  </si>
  <si>
    <t>Home Health</t>
  </si>
  <si>
    <t>Grants and Other Funds</t>
  </si>
  <si>
    <t>Charges for Services</t>
  </si>
  <si>
    <t>Covid</t>
  </si>
  <si>
    <t>HD Mill Levy Fund</t>
  </si>
  <si>
    <t>Transfer from Liquor Tax</t>
  </si>
  <si>
    <t>Work Comp Reimbursement</t>
  </si>
  <si>
    <t>Insurance Reimbursement</t>
  </si>
  <si>
    <t>Social Security - FICA</t>
  </si>
  <si>
    <t>Unemployment</t>
  </si>
  <si>
    <t>Retirement</t>
  </si>
  <si>
    <t>Professional Services</t>
  </si>
  <si>
    <t>Workman's Compensation</t>
  </si>
  <si>
    <t>Principal/Interest</t>
  </si>
  <si>
    <t>Other Income</t>
  </si>
  <si>
    <t>K-7 Improvements</t>
  </si>
  <si>
    <t>Capital Improvement Expenses</t>
  </si>
  <si>
    <t>Diversion Fees</t>
  </si>
  <si>
    <t>Diversion Expenses</t>
  </si>
  <si>
    <t>Host Fees</t>
  </si>
  <si>
    <t>Meal Income</t>
  </si>
  <si>
    <t>Captial Outlay</t>
  </si>
  <si>
    <t>Grants</t>
  </si>
  <si>
    <t>Program Income</t>
  </si>
  <si>
    <t>Interfund Transfers - Elderly</t>
  </si>
  <si>
    <t>Contractual Serves</t>
  </si>
  <si>
    <t>Meal Reimbursement Transfers</t>
  </si>
  <si>
    <t>State Cost Share</t>
  </si>
  <si>
    <t>Bed Crisis Center</t>
  </si>
  <si>
    <t>Capital Improvements</t>
  </si>
  <si>
    <t>Interfund Transfer Road Department</t>
  </si>
  <si>
    <t>Disaster Relief Funds</t>
  </si>
  <si>
    <t>Transfers to Operational Funds</t>
  </si>
  <si>
    <t>911 Surcharge</t>
  </si>
  <si>
    <t>911 Fund Expenses</t>
  </si>
  <si>
    <t>Transfer from Road Department</t>
  </si>
  <si>
    <t>Sale of Equipment</t>
  </si>
  <si>
    <t>Equipment Purchases</t>
  </si>
  <si>
    <t>CARES/ARPA Federal Funding</t>
  </si>
  <si>
    <t>CARES/ARPA Expenses</t>
  </si>
  <si>
    <t>Broadband</t>
  </si>
  <si>
    <t>LUTC</t>
  </si>
  <si>
    <t>Transfer to Ambulance Service</t>
  </si>
  <si>
    <t>A Roll Call Vote of Doniphan County To Levy a Property Tax Exceeding the Revenue Neutral Rate</t>
  </si>
  <si>
    <t>Hearing to Exceed Revenue Neutral Rate held on August 21, 2023</t>
  </si>
  <si>
    <t>Crisis Bed Center</t>
  </si>
  <si>
    <t xml:space="preserve">August 28, 2023 </t>
  </si>
  <si>
    <t>THE GOVERNING BODY OF DONIPHAN COUNTY, KANSAS, HEREBY NOTIFIES THE DONIPHAN COUNTY CLERK OF INTENT TO EXCEED THE REVENUE NEUTRAL RATE;</t>
  </si>
  <si>
    <t>No, we do not plan to exceed the Revenue Neutral Rate and will submit our budget to the County Clerk on or before August 25, 2023.</t>
  </si>
  <si>
    <t>Contingency</t>
  </si>
  <si>
    <t>Capital Outlay - Asphalt Roads</t>
  </si>
  <si>
    <t>August 28, 2023</t>
  </si>
  <si>
    <t>Doniphan County Townships, Fire Districts, Cemetery Districts</t>
  </si>
  <si>
    <t>Burr Oak Twp General</t>
  </si>
  <si>
    <t>Burr Oak Twp Road</t>
  </si>
  <si>
    <t>Center Twp General</t>
  </si>
  <si>
    <t>Center Twp Road</t>
  </si>
  <si>
    <t>Center Twp Cemetery</t>
  </si>
  <si>
    <t>Indepdendence Twp General</t>
  </si>
  <si>
    <t>Independence Twp Road</t>
  </si>
  <si>
    <t>Iowa Twp General</t>
  </si>
  <si>
    <t>Iowa Twp Road</t>
  </si>
  <si>
    <t>Iowa Twp Cemetery</t>
  </si>
  <si>
    <t>Marion Twp General</t>
  </si>
  <si>
    <t>Marion Twp Road</t>
  </si>
  <si>
    <t>Union Twp General</t>
  </si>
  <si>
    <t>Union Twp Road</t>
  </si>
  <si>
    <t>Washington Twp General</t>
  </si>
  <si>
    <t>Wayne Twp General</t>
  </si>
  <si>
    <t>Wayne Twp Road</t>
  </si>
  <si>
    <t>Wolf River Twp General</t>
  </si>
  <si>
    <t>Wolf River Twp Road</t>
  </si>
  <si>
    <t>Wolf River Twp Cemetery</t>
  </si>
  <si>
    <t>Fire District No. 1</t>
  </si>
  <si>
    <t>Fire District No. 2</t>
  </si>
  <si>
    <t>Fire District No. 3</t>
  </si>
  <si>
    <t>Fire District No. 3 Equip Res</t>
  </si>
  <si>
    <t>Fire District No. 1 Equip Res</t>
  </si>
  <si>
    <t>Fire District No. 4</t>
  </si>
  <si>
    <t>Fire District No. 4 Equip Res</t>
  </si>
  <si>
    <t>Fire District No. 5</t>
  </si>
  <si>
    <t>Doniphan Cemetery No. 1</t>
  </si>
  <si>
    <t>Doniphan Cemetery No. 1 Road</t>
  </si>
  <si>
    <t>Rosedale Cemetery No. 2</t>
  </si>
  <si>
    <t>Wolf River Cemetery No. 3</t>
  </si>
  <si>
    <t>1.500*</t>
  </si>
  <si>
    <t xml:space="preserve">  *Exceeds Revenue Neutral Rate</t>
  </si>
  <si>
    <t>0.605**</t>
  </si>
  <si>
    <t>Peggy Franken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</si>
</sst>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_);\(#,##0.000\)"/>
    <numFmt numFmtId="171" formatCode="0.000"/>
    <numFmt numFmtId="172" formatCode="#,##0.000"/>
    <numFmt numFmtId="173" formatCode="&quot;$&quot;#,##0"/>
    <numFmt numFmtId="174" formatCode="#,###"/>
    <numFmt numFmtId="175" formatCode="0.0%"/>
  </numFmts>
  <fonts count="67" x14ac:knownFonts="1">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8"/>
      <name val="Courier"/>
      <family val="3"/>
    </font>
    <font>
      <u/>
      <sz val="12"/>
      <color indexed="12"/>
      <name val="Courier New"/>
      <family val="3"/>
    </font>
    <font>
      <sz val="12"/>
      <name val="Courier New"/>
      <family val="3"/>
    </font>
    <font>
      <b/>
      <sz val="11"/>
      <name val="Times New Roman"/>
      <family val="1"/>
    </font>
    <font>
      <sz val="10"/>
      <name val="Times New Roman"/>
      <family val="1"/>
    </font>
    <font>
      <b/>
      <sz val="10"/>
      <name val="Times New Roman"/>
      <family val="1"/>
    </font>
    <font>
      <sz val="10"/>
      <name val="Courier"/>
      <family val="3"/>
    </font>
    <font>
      <sz val="8"/>
      <name val="Times New Roman"/>
      <family val="1"/>
    </font>
    <font>
      <b/>
      <u/>
      <sz val="12"/>
      <name val="Times New Roman"/>
      <family val="1"/>
    </font>
    <font>
      <sz val="12"/>
      <color indexed="10"/>
      <name val="Times New Roman"/>
      <family val="1"/>
    </font>
    <font>
      <b/>
      <u/>
      <sz val="12"/>
      <color indexed="10"/>
      <name val="Times New Roman"/>
      <family val="1"/>
    </font>
    <font>
      <b/>
      <u/>
      <sz val="12"/>
      <name val="Courier"/>
      <family val="3"/>
    </font>
    <font>
      <b/>
      <sz val="8"/>
      <name val="Times New Roman"/>
      <family val="1"/>
    </font>
    <font>
      <b/>
      <u/>
      <sz val="10"/>
      <name val="Times New Roman"/>
      <family val="1"/>
    </font>
    <font>
      <b/>
      <sz val="12"/>
      <color indexed="10"/>
      <name val="Times New Roman"/>
      <family val="1"/>
    </font>
    <font>
      <sz val="12"/>
      <color indexed="10"/>
      <name val="Courier"/>
      <family val="3"/>
    </font>
    <font>
      <i/>
      <sz val="12"/>
      <name val="Times New Roman"/>
      <family val="1"/>
    </font>
    <font>
      <b/>
      <u/>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sz val="8"/>
      <color indexed="10"/>
      <name val="Times New Roman"/>
      <family val="1"/>
    </font>
    <font>
      <sz val="14"/>
      <name val="Courier"/>
      <family val="3"/>
    </font>
    <font>
      <b/>
      <sz val="14"/>
      <name val="Times New Roman"/>
      <family val="1"/>
    </font>
    <font>
      <u/>
      <sz val="12"/>
      <color indexed="12"/>
      <name val="Courier"/>
      <family val="3"/>
    </font>
    <font>
      <sz val="12"/>
      <name val="Courier New"/>
      <family val="3"/>
    </font>
    <font>
      <b/>
      <sz val="12"/>
      <name val="Courier"/>
      <family val="3"/>
    </font>
    <font>
      <sz val="12"/>
      <name val="Courier"/>
      <family val="3"/>
    </font>
    <font>
      <sz val="11"/>
      <color indexed="8"/>
      <name val="Times New Roman"/>
      <family val="1"/>
    </font>
    <font>
      <b/>
      <sz val="11"/>
      <color indexed="8"/>
      <name val="Times New Roman"/>
      <family val="1"/>
    </font>
    <font>
      <sz val="10"/>
      <color indexed="10"/>
      <name val="Times New Roman"/>
      <family val="1"/>
    </font>
    <font>
      <b/>
      <sz val="13"/>
      <name val="Times New Roman"/>
      <family val="1"/>
    </font>
    <font>
      <u/>
      <sz val="12"/>
      <color indexed="12"/>
      <name val="Times New Roman"/>
      <family val="1"/>
    </font>
    <font>
      <sz val="11"/>
      <color theme="1"/>
      <name val="Calibri"/>
      <family val="2"/>
      <scheme val="minor"/>
    </font>
    <font>
      <u/>
      <sz val="12"/>
      <color rgb="FFFF0000"/>
      <name val="Times New Roman"/>
      <family val="1"/>
    </font>
    <font>
      <b/>
      <sz val="12"/>
      <color rgb="FFFF0000"/>
      <name val="Times New Roman"/>
      <family val="1"/>
    </font>
    <font>
      <sz val="10"/>
      <color rgb="FFFF0000"/>
      <name val="Times New Roman"/>
      <family val="1"/>
    </font>
    <font>
      <b/>
      <sz val="16"/>
      <name val="Times New Roman"/>
      <family val="1"/>
    </font>
    <font>
      <b/>
      <u/>
      <sz val="16"/>
      <name val="Times New Roman"/>
      <family val="1"/>
    </font>
    <font>
      <u/>
      <vertAlign val="superscript"/>
      <sz val="12"/>
      <name val="Times New Roman"/>
      <family val="1"/>
    </font>
    <font>
      <sz val="11"/>
      <name val="Calibri"/>
      <family val="2"/>
    </font>
    <font>
      <sz val="7"/>
      <name val="Times New Roman"/>
      <family val="1"/>
    </font>
    <font>
      <sz val="12"/>
      <color rgb="FFFF0000"/>
      <name val="Times New Roman"/>
      <family val="1"/>
    </font>
    <font>
      <sz val="14"/>
      <name val="Times New Roman"/>
      <family val="1"/>
    </font>
    <font>
      <b/>
      <sz val="14"/>
      <name val="Calibri"/>
      <family val="2"/>
      <scheme val="minor"/>
    </font>
    <font>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
      <u/>
      <sz val="12"/>
      <color theme="10"/>
      <name val="Courie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11"/>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23">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3"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33"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33"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33"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33"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3" fillId="0" borderId="0"/>
    <xf numFmtId="0" fontId="66" fillId="0" borderId="0" applyNumberFormat="0" applyFill="0" applyBorder="0" applyAlignment="0" applyProtection="0"/>
  </cellStyleXfs>
  <cellXfs count="736">
    <xf numFmtId="0" fontId="0" fillId="0" borderId="0" xfId="0"/>
    <xf numFmtId="0" fontId="3" fillId="0" borderId="0" xfId="0" applyFont="1" applyProtection="1">
      <protection locked="0"/>
    </xf>
    <xf numFmtId="0" fontId="3" fillId="0" borderId="0" xfId="0" applyFont="1"/>
    <xf numFmtId="0" fontId="3" fillId="0" borderId="0" xfId="0" applyFont="1" applyAlignment="1">
      <alignment horizontal="centerContinuous"/>
    </xf>
    <xf numFmtId="37" fontId="3" fillId="0" borderId="0" xfId="0" applyNumberFormat="1" applyFont="1" applyAlignment="1" applyProtection="1">
      <alignment horizontal="left"/>
      <protection locked="0"/>
    </xf>
    <xf numFmtId="37" fontId="3" fillId="0" borderId="0" xfId="0" applyNumberFormat="1" applyFont="1" applyAlignment="1" applyProtection="1">
      <alignment horizontal="center"/>
      <protection locked="0"/>
    </xf>
    <xf numFmtId="37" fontId="3" fillId="2" borderId="2" xfId="0" applyNumberFormat="1" applyFont="1" applyFill="1" applyBorder="1" applyProtection="1">
      <protection locked="0"/>
    </xf>
    <xf numFmtId="164" fontId="3" fillId="2" borderId="2" xfId="0" applyNumberFormat="1" applyFont="1" applyFill="1" applyBorder="1" applyProtection="1">
      <protection locked="0"/>
    </xf>
    <xf numFmtId="37" fontId="3" fillId="3" borderId="0" xfId="0" applyNumberFormat="1" applyFont="1" applyFill="1" applyAlignment="1">
      <alignment horizontal="right"/>
    </xf>
    <xf numFmtId="0" fontId="3" fillId="3" borderId="0" xfId="0" applyFont="1" applyFill="1"/>
    <xf numFmtId="37" fontId="3" fillId="3" borderId="0" xfId="0" applyNumberFormat="1" applyFont="1" applyFill="1" applyAlignment="1">
      <alignment horizontal="left"/>
    </xf>
    <xf numFmtId="37" fontId="3" fillId="3" borderId="0" xfId="0" applyNumberFormat="1" applyFont="1" applyFill="1" applyAlignment="1">
      <alignment horizontal="centerContinuous"/>
    </xf>
    <xf numFmtId="0" fontId="3" fillId="3" borderId="0" xfId="0" applyFont="1" applyFill="1" applyAlignment="1">
      <alignment horizontal="centerContinuous"/>
    </xf>
    <xf numFmtId="37" fontId="3" fillId="3" borderId="0" xfId="0" applyNumberFormat="1" applyFont="1" applyFill="1" applyAlignment="1">
      <alignment horizontal="fill"/>
    </xf>
    <xf numFmtId="37" fontId="3" fillId="3" borderId="2" xfId="0" applyNumberFormat="1" applyFont="1" applyFill="1" applyBorder="1"/>
    <xf numFmtId="37" fontId="3" fillId="3" borderId="0" xfId="0" applyNumberFormat="1" applyFont="1" applyFill="1"/>
    <xf numFmtId="0" fontId="3" fillId="3" borderId="0" xfId="0" applyFont="1" applyFill="1" applyAlignment="1">
      <alignment horizontal="center"/>
    </xf>
    <xf numFmtId="0" fontId="3" fillId="3" borderId="0" xfId="0" applyFont="1" applyFill="1" applyAlignment="1">
      <alignment horizontal="right"/>
    </xf>
    <xf numFmtId="164" fontId="3" fillId="3" borderId="2" xfId="0" applyNumberFormat="1" applyFont="1" applyFill="1" applyBorder="1" applyProtection="1">
      <protection locked="0"/>
    </xf>
    <xf numFmtId="166" fontId="3" fillId="3" borderId="0" xfId="0" applyNumberFormat="1" applyFont="1" applyFill="1" applyAlignment="1">
      <alignment horizontal="center"/>
    </xf>
    <xf numFmtId="37" fontId="3" fillId="3" borderId="1" xfId="0" applyNumberFormat="1" applyFont="1" applyFill="1" applyBorder="1" applyAlignment="1">
      <alignment horizontal="center"/>
    </xf>
    <xf numFmtId="37" fontId="3" fillId="3" borderId="0" xfId="0" applyNumberFormat="1" applyFont="1" applyFill="1" applyAlignment="1">
      <alignment horizontal="center"/>
    </xf>
    <xf numFmtId="170" fontId="3" fillId="3" borderId="0" xfId="0" applyNumberFormat="1" applyFont="1" applyFill="1" applyAlignment="1">
      <alignment horizontal="center"/>
    </xf>
    <xf numFmtId="0" fontId="3" fillId="0" borderId="0" xfId="0" applyFont="1" applyAlignment="1">
      <alignment vertical="center"/>
    </xf>
    <xf numFmtId="0" fontId="3" fillId="0" borderId="0" xfId="0" applyFont="1" applyAlignment="1">
      <alignment vertical="center" wrapText="1"/>
    </xf>
    <xf numFmtId="37" fontId="3" fillId="3" borderId="0" xfId="0" applyNumberFormat="1" applyFont="1" applyFill="1" applyAlignment="1">
      <alignment horizontal="left" vertical="center"/>
    </xf>
    <xf numFmtId="0" fontId="3" fillId="3" borderId="0" xfId="0" applyFont="1" applyFill="1" applyAlignment="1">
      <alignment vertical="center"/>
    </xf>
    <xf numFmtId="37" fontId="3" fillId="3" borderId="0" xfId="0" applyNumberFormat="1" applyFont="1" applyFill="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0" xfId="0" applyFont="1" applyFill="1" applyAlignment="1">
      <alignment horizontal="centerContinuous" vertical="center"/>
    </xf>
    <xf numFmtId="0" fontId="3" fillId="3" borderId="0" xfId="0" applyFont="1" applyFill="1" applyAlignment="1">
      <alignment horizontal="center" vertical="center"/>
    </xf>
    <xf numFmtId="37" fontId="3" fillId="3" borderId="0" xfId="0" applyNumberFormat="1" applyFont="1" applyFill="1" applyAlignment="1">
      <alignment horizontal="center" vertical="center"/>
    </xf>
    <xf numFmtId="37" fontId="3" fillId="4" borderId="6" xfId="0" applyNumberFormat="1" applyFont="1" applyFill="1" applyBorder="1" applyAlignment="1">
      <alignment horizontal="center" vertical="center"/>
    </xf>
    <xf numFmtId="37" fontId="3" fillId="3" borderId="2" xfId="0" applyNumberFormat="1" applyFont="1" applyFill="1" applyBorder="1" applyAlignment="1">
      <alignment horizontal="left" vertical="center"/>
    </xf>
    <xf numFmtId="0" fontId="3" fillId="3" borderId="2" xfId="0"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164" fontId="3" fillId="6" borderId="2" xfId="0" applyNumberFormat="1" applyFont="1" applyFill="1" applyBorder="1" applyAlignment="1" applyProtection="1">
      <alignment vertical="center"/>
      <protection locked="0"/>
    </xf>
    <xf numFmtId="0" fontId="3" fillId="3" borderId="2" xfId="0" applyFont="1" applyFill="1" applyBorder="1" applyAlignment="1">
      <alignment vertical="center"/>
    </xf>
    <xf numFmtId="164" fontId="3" fillId="2" borderId="2" xfId="0" applyNumberFormat="1" applyFont="1" applyFill="1" applyBorder="1" applyAlignment="1" applyProtection="1">
      <alignment vertical="center"/>
      <protection locked="0"/>
    </xf>
    <xf numFmtId="0" fontId="3" fillId="6"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3" fontId="3" fillId="6" borderId="2" xfId="0" applyNumberFormat="1" applyFont="1" applyFill="1" applyBorder="1" applyAlignment="1" applyProtection="1">
      <alignment vertical="center"/>
      <protection locked="0"/>
    </xf>
    <xf numFmtId="37" fontId="3" fillId="3" borderId="1" xfId="0" applyNumberFormat="1" applyFont="1" applyFill="1" applyBorder="1" applyAlignment="1">
      <alignment horizontal="left" vertical="center"/>
    </xf>
    <xf numFmtId="0" fontId="3" fillId="3" borderId="1" xfId="0" applyFont="1" applyFill="1" applyBorder="1" applyAlignment="1">
      <alignment vertical="center"/>
    </xf>
    <xf numFmtId="0" fontId="3" fillId="3" borderId="4" xfId="0" applyFont="1" applyFill="1" applyBorder="1" applyAlignment="1">
      <alignment vertical="center"/>
    </xf>
    <xf numFmtId="164" fontId="3" fillId="3" borderId="1" xfId="0" applyNumberFormat="1" applyFont="1" applyFill="1" applyBorder="1" applyAlignment="1" applyProtection="1">
      <alignment vertical="center"/>
      <protection locked="0"/>
    </xf>
    <xf numFmtId="0" fontId="3" fillId="3" borderId="8" xfId="0" applyFont="1" applyFill="1" applyBorder="1" applyAlignment="1">
      <alignment vertical="center"/>
    </xf>
    <xf numFmtId="164" fontId="3" fillId="3" borderId="0" xfId="0" applyNumberFormat="1" applyFont="1" applyFill="1" applyAlignment="1" applyProtection="1">
      <alignment vertical="center"/>
      <protection locked="0"/>
    </xf>
    <xf numFmtId="3" fontId="3" fillId="3" borderId="0" xfId="0" applyNumberFormat="1" applyFont="1" applyFill="1" applyAlignment="1">
      <alignment vertical="center"/>
    </xf>
    <xf numFmtId="37" fontId="3" fillId="3" borderId="2" xfId="0" applyNumberFormat="1" applyFont="1" applyFill="1" applyBorder="1" applyAlignment="1">
      <alignment vertical="center"/>
    </xf>
    <xf numFmtId="0" fontId="3" fillId="3" borderId="9" xfId="0" applyFont="1" applyFill="1" applyBorder="1" applyAlignment="1">
      <alignment vertical="center"/>
    </xf>
    <xf numFmtId="3" fontId="3" fillId="3" borderId="0" xfId="0" applyNumberFormat="1" applyFont="1" applyFill="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37" fontId="3" fillId="3" borderId="9" xfId="0" applyNumberFormat="1" applyFont="1" applyFill="1" applyBorder="1" applyAlignment="1">
      <alignment horizontal="left" vertical="center"/>
    </xf>
    <xf numFmtId="37" fontId="3" fillId="2" borderId="2" xfId="0" applyNumberFormat="1" applyFont="1" applyFill="1" applyBorder="1" applyAlignment="1" applyProtection="1">
      <alignment vertical="center"/>
      <protection locked="0"/>
    </xf>
    <xf numFmtId="37" fontId="3" fillId="3" borderId="7" xfId="0" applyNumberFormat="1" applyFont="1" applyFill="1" applyBorder="1" applyAlignment="1">
      <alignment horizontal="left" vertical="center"/>
    </xf>
    <xf numFmtId="3" fontId="3" fillId="3" borderId="8" xfId="0" applyNumberFormat="1" applyFont="1" applyFill="1" applyBorder="1" applyAlignment="1">
      <alignment vertical="center"/>
    </xf>
    <xf numFmtId="3" fontId="3" fillId="3" borderId="4" xfId="0" applyNumberFormat="1" applyFont="1" applyFill="1" applyBorder="1" applyAlignment="1">
      <alignment vertical="center"/>
    </xf>
    <xf numFmtId="3" fontId="3" fillId="3" borderId="9" xfId="0" applyNumberFormat="1" applyFont="1" applyFill="1" applyBorder="1" applyAlignment="1">
      <alignment vertical="center"/>
    </xf>
    <xf numFmtId="0" fontId="4" fillId="3" borderId="0" xfId="0" applyFont="1" applyFill="1" applyAlignment="1">
      <alignment vertical="center"/>
    </xf>
    <xf numFmtId="37" fontId="3" fillId="3" borderId="1" xfId="0" applyNumberFormat="1" applyFont="1" applyFill="1" applyBorder="1" applyAlignment="1">
      <alignment vertical="center"/>
    </xf>
    <xf numFmtId="0" fontId="0" fillId="3" borderId="0" xfId="0" applyFill="1" applyAlignment="1">
      <alignment vertical="center"/>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xf>
    <xf numFmtId="0" fontId="16" fillId="3" borderId="0" xfId="0" applyFont="1" applyFill="1" applyAlignment="1">
      <alignment vertical="center"/>
    </xf>
    <xf numFmtId="0" fontId="22" fillId="3" borderId="0" xfId="0" applyFont="1" applyFill="1" applyAlignment="1">
      <alignment vertical="center"/>
    </xf>
    <xf numFmtId="0" fontId="3" fillId="4" borderId="6" xfId="0" applyFont="1" applyFill="1" applyBorder="1" applyAlignment="1">
      <alignment horizontal="center" vertical="center"/>
    </xf>
    <xf numFmtId="37" fontId="3" fillId="3" borderId="6" xfId="0" applyNumberFormat="1" applyFont="1" applyFill="1" applyBorder="1" applyAlignment="1">
      <alignment vertical="center"/>
    </xf>
    <xf numFmtId="3" fontId="3" fillId="2" borderId="6" xfId="0" applyNumberFormat="1" applyFont="1" applyFill="1" applyBorder="1" applyAlignment="1" applyProtection="1">
      <alignment vertical="center"/>
      <protection locked="0"/>
    </xf>
    <xf numFmtId="0" fontId="11" fillId="0" borderId="0" xfId="0" applyFont="1" applyAlignment="1">
      <alignment vertical="center"/>
    </xf>
    <xf numFmtId="0" fontId="0" fillId="0" borderId="0" xfId="0" applyAlignment="1">
      <alignment vertical="center"/>
    </xf>
    <xf numFmtId="37" fontId="11" fillId="3" borderId="2" xfId="0" applyNumberFormat="1" applyFont="1" applyFill="1" applyBorder="1" applyAlignment="1">
      <alignment vertical="center"/>
    </xf>
    <xf numFmtId="171" fontId="3" fillId="3" borderId="2" xfId="0" applyNumberFormat="1" applyFont="1" applyFill="1" applyBorder="1" applyAlignment="1">
      <alignment vertical="center"/>
    </xf>
    <xf numFmtId="37" fontId="3" fillId="3" borderId="2" xfId="0" applyNumberFormat="1" applyFont="1" applyFill="1" applyBorder="1" applyAlignment="1">
      <alignment horizontal="center" vertical="center"/>
    </xf>
    <xf numFmtId="37" fontId="3" fillId="3" borderId="0" xfId="0" applyNumberFormat="1" applyFont="1" applyFill="1" applyAlignment="1">
      <alignment horizontal="centerContinuous" vertical="center"/>
    </xf>
    <xf numFmtId="37" fontId="3" fillId="3" borderId="5" xfId="0" applyNumberFormat="1" applyFont="1" applyFill="1" applyBorder="1" applyAlignment="1">
      <alignment horizontal="center" vertical="center"/>
    </xf>
    <xf numFmtId="37" fontId="4" fillId="3" borderId="1" xfId="0" applyNumberFormat="1" applyFont="1" applyFill="1" applyBorder="1" applyAlignment="1">
      <alignment horizontal="left" vertical="center"/>
    </xf>
    <xf numFmtId="37" fontId="3" fillId="3" borderId="6" xfId="0" applyNumberFormat="1" applyFont="1" applyFill="1" applyBorder="1" applyAlignment="1">
      <alignment horizontal="center" vertical="center"/>
    </xf>
    <xf numFmtId="37" fontId="5" fillId="3" borderId="2" xfId="0" applyNumberFormat="1" applyFont="1" applyFill="1" applyBorder="1" applyAlignment="1">
      <alignment horizontal="left" vertical="center"/>
    </xf>
    <xf numFmtId="37" fontId="5" fillId="3" borderId="2" xfId="0" applyNumberFormat="1" applyFont="1" applyFill="1" applyBorder="1" applyAlignment="1">
      <alignment horizontal="center" vertical="center"/>
    </xf>
    <xf numFmtId="37" fontId="3" fillId="2" borderId="2" xfId="0" applyNumberFormat="1" applyFont="1" applyFill="1" applyBorder="1" applyAlignment="1" applyProtection="1">
      <alignment horizontal="left" vertical="center"/>
      <protection locked="0"/>
    </xf>
    <xf numFmtId="37" fontId="3" fillId="3" borderId="2" xfId="0" applyNumberFormat="1" applyFont="1" applyFill="1" applyBorder="1" applyAlignment="1">
      <alignment horizontal="fill" vertical="center"/>
    </xf>
    <xf numFmtId="37"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0" fontId="4" fillId="3" borderId="0" xfId="0" applyFont="1" applyFill="1" applyAlignment="1">
      <alignment horizontal="center" vertical="center"/>
    </xf>
    <xf numFmtId="37" fontId="3" fillId="3" borderId="0" xfId="0" applyNumberFormat="1" applyFont="1" applyFill="1" applyAlignment="1">
      <alignment horizontal="right" vertical="center"/>
    </xf>
    <xf numFmtId="0" fontId="4" fillId="3" borderId="1" xfId="0" applyFont="1" applyFill="1" applyBorder="1" applyAlignment="1">
      <alignment horizontal="center" vertical="center"/>
    </xf>
    <xf numFmtId="0" fontId="3" fillId="2" borderId="6" xfId="0" applyFont="1" applyFill="1" applyBorder="1" applyAlignment="1" applyProtection="1">
      <alignment vertical="center"/>
      <protection locked="0"/>
    </xf>
    <xf numFmtId="169" fontId="3" fillId="2" borderId="6" xfId="1" applyNumberFormat="1" applyFont="1" applyFill="1" applyBorder="1" applyAlignment="1" applyProtection="1">
      <alignment vertical="center"/>
      <protection locked="0"/>
    </xf>
    <xf numFmtId="169" fontId="3" fillId="2" borderId="2" xfId="1" applyNumberFormat="1"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3" fillId="3" borderId="2" xfId="0" applyFont="1" applyFill="1" applyBorder="1" applyAlignment="1">
      <alignment horizontal="center" vertical="center"/>
    </xf>
    <xf numFmtId="0" fontId="3" fillId="3" borderId="2" xfId="0" applyFont="1" applyFill="1" applyBorder="1" applyAlignment="1" applyProtection="1">
      <alignment horizontal="center" vertical="center"/>
      <protection locked="0"/>
    </xf>
    <xf numFmtId="1" fontId="3" fillId="3" borderId="0" xfId="0" applyNumberFormat="1" applyFont="1" applyFill="1" applyAlignment="1">
      <alignment horizontal="right" vertical="center"/>
    </xf>
    <xf numFmtId="0" fontId="4" fillId="3" borderId="0" xfId="520" applyFont="1" applyFill="1" applyAlignment="1">
      <alignment horizontal="centerContinuous" vertical="center"/>
    </xf>
    <xf numFmtId="0" fontId="3" fillId="3" borderId="1" xfId="0" applyFont="1" applyFill="1" applyBorder="1" applyAlignment="1">
      <alignment horizontal="fill"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left" vertical="center"/>
    </xf>
    <xf numFmtId="0" fontId="3" fillId="3" borderId="6" xfId="0" applyFont="1" applyFill="1" applyBorder="1" applyAlignment="1">
      <alignment horizontal="center" vertical="center"/>
    </xf>
    <xf numFmtId="2" fontId="3" fillId="3" borderId="2" xfId="0" applyNumberFormat="1" applyFont="1" applyFill="1" applyBorder="1" applyAlignment="1">
      <alignment vertical="center"/>
    </xf>
    <xf numFmtId="3" fontId="3" fillId="3" borderId="2" xfId="0" applyNumberFormat="1" applyFont="1" applyFill="1" applyBorder="1" applyAlignment="1">
      <alignment vertical="center"/>
    </xf>
    <xf numFmtId="0" fontId="3" fillId="6" borderId="2" xfId="0" applyFont="1" applyFill="1" applyBorder="1" applyAlignment="1" applyProtection="1">
      <alignment horizontal="center" vertical="center"/>
      <protection locked="0"/>
    </xf>
    <xf numFmtId="2" fontId="3" fillId="6" borderId="2" xfId="0" applyNumberFormat="1" applyFont="1" applyFill="1" applyBorder="1" applyAlignment="1" applyProtection="1">
      <alignment horizontal="center" vertical="center"/>
      <protection locked="0"/>
    </xf>
    <xf numFmtId="3" fontId="3" fillId="6" borderId="2" xfId="0" applyNumberFormat="1" applyFont="1" applyFill="1" applyBorder="1" applyAlignment="1" applyProtection="1">
      <alignment horizontal="center" vertical="center"/>
      <protection locked="0"/>
    </xf>
    <xf numFmtId="37" fontId="3" fillId="6" borderId="2" xfId="0" applyNumberFormat="1" applyFont="1" applyFill="1" applyBorder="1" applyAlignment="1" applyProtection="1">
      <alignment horizontal="center" vertical="center"/>
      <protection locked="0"/>
    </xf>
    <xf numFmtId="168" fontId="3" fillId="6" borderId="2" xfId="0" applyNumberFormat="1" applyFont="1" applyFill="1" applyBorder="1" applyAlignment="1" applyProtection="1">
      <alignment horizontal="center" vertical="center"/>
      <protection locked="0"/>
    </xf>
    <xf numFmtId="0" fontId="4" fillId="3" borderId="2" xfId="0" applyFont="1" applyFill="1" applyBorder="1" applyAlignment="1">
      <alignment horizontal="center" vertical="center"/>
    </xf>
    <xf numFmtId="167" fontId="4"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3" fontId="4" fillId="3" borderId="2" xfId="0" applyNumberFormat="1" applyFont="1" applyFill="1" applyBorder="1" applyAlignment="1">
      <alignment horizontal="center" vertical="center"/>
    </xf>
    <xf numFmtId="168" fontId="4" fillId="3" borderId="2" xfId="0" applyNumberFormat="1" applyFont="1" applyFill="1" applyBorder="1" applyAlignment="1">
      <alignment horizontal="center" vertical="center"/>
    </xf>
    <xf numFmtId="167" fontId="3" fillId="3" borderId="2"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168" fontId="3"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Font="1" applyFill="1" applyAlignment="1">
      <alignment horizontal="right" vertical="center"/>
    </xf>
    <xf numFmtId="0" fontId="3" fillId="3" borderId="16" xfId="0" applyFont="1" applyFill="1" applyBorder="1" applyAlignment="1">
      <alignment vertical="center"/>
    </xf>
    <xf numFmtId="0" fontId="3" fillId="3" borderId="5" xfId="0" applyFont="1" applyFill="1" applyBorder="1" applyAlignment="1">
      <alignment vertical="center"/>
    </xf>
    <xf numFmtId="0" fontId="3" fillId="3" borderId="15" xfId="0" applyFont="1" applyFill="1" applyBorder="1" applyAlignment="1">
      <alignment horizontal="left" vertical="center"/>
    </xf>
    <xf numFmtId="0" fontId="6" fillId="3" borderId="6" xfId="0" applyFont="1" applyFill="1" applyBorder="1" applyAlignment="1">
      <alignment horizontal="center" vertical="center"/>
    </xf>
    <xf numFmtId="14" fontId="3" fillId="3" borderId="6" xfId="0" quotePrefix="1" applyNumberFormat="1" applyFont="1" applyFill="1" applyBorder="1" applyAlignment="1">
      <alignment horizontal="center" vertical="center"/>
    </xf>
    <xf numFmtId="0" fontId="3" fillId="6" borderId="2" xfId="0" applyFont="1" applyFill="1" applyBorder="1" applyAlignment="1" applyProtection="1">
      <alignment vertical="center"/>
      <protection locked="0"/>
    </xf>
    <xf numFmtId="1" fontId="3" fillId="6" borderId="2" xfId="0" applyNumberFormat="1" applyFont="1" applyFill="1" applyBorder="1" applyAlignment="1" applyProtection="1">
      <alignment vertical="center"/>
      <protection locked="0"/>
    </xf>
    <xf numFmtId="2" fontId="3" fillId="6" borderId="2" xfId="0" applyNumberFormat="1" applyFont="1" applyFill="1" applyBorder="1" applyAlignment="1" applyProtection="1">
      <alignment vertical="center"/>
      <protection locked="0"/>
    </xf>
    <xf numFmtId="0" fontId="3" fillId="3" borderId="0" xfId="0" quotePrefix="1" applyFont="1" applyFill="1" applyAlignment="1">
      <alignment horizontal="right" vertical="center"/>
    </xf>
    <xf numFmtId="0" fontId="3" fillId="3" borderId="0" xfId="0" applyFont="1" applyFill="1" applyAlignment="1">
      <alignment horizontal="left" vertical="center"/>
    </xf>
    <xf numFmtId="1" fontId="3" fillId="3" borderId="6" xfId="0" applyNumberFormat="1" applyFont="1" applyFill="1" applyBorder="1" applyAlignment="1">
      <alignment horizontal="center" vertical="center"/>
    </xf>
    <xf numFmtId="0" fontId="3" fillId="3" borderId="7" xfId="0" applyFont="1" applyFill="1" applyBorder="1" applyAlignment="1">
      <alignment horizontal="left" vertical="center"/>
    </xf>
    <xf numFmtId="3" fontId="3" fillId="6" borderId="4" xfId="0" applyNumberFormat="1" applyFont="1" applyFill="1" applyBorder="1" applyAlignment="1" applyProtection="1">
      <alignment vertical="center"/>
      <protection locked="0"/>
    </xf>
    <xf numFmtId="37" fontId="3" fillId="3" borderId="7" xfId="0" applyNumberFormat="1" applyFont="1" applyFill="1" applyBorder="1" applyAlignment="1">
      <alignment vertical="center"/>
    </xf>
    <xf numFmtId="37" fontId="3" fillId="6" borderId="2" xfId="0" applyNumberFormat="1" applyFont="1" applyFill="1" applyBorder="1" applyAlignment="1" applyProtection="1">
      <alignment vertical="center"/>
      <protection locked="0"/>
    </xf>
    <xf numFmtId="37" fontId="3" fillId="6" borderId="7" xfId="0" applyNumberFormat="1" applyFont="1" applyFill="1" applyBorder="1" applyAlignment="1" applyProtection="1">
      <alignment vertical="center"/>
      <protection locked="0"/>
    </xf>
    <xf numFmtId="0" fontId="3" fillId="6" borderId="7" xfId="0" applyFont="1" applyFill="1" applyBorder="1" applyAlignment="1" applyProtection="1">
      <alignment horizontal="left" vertical="center"/>
      <protection locked="0"/>
    </xf>
    <xf numFmtId="0" fontId="3" fillId="3" borderId="7" xfId="0" applyFont="1" applyFill="1" applyBorder="1" applyAlignment="1">
      <alignment vertical="center"/>
    </xf>
    <xf numFmtId="3" fontId="16" fillId="8" borderId="11" xfId="0" applyNumberFormat="1" applyFont="1" applyFill="1" applyBorder="1" applyAlignment="1">
      <alignment horizontal="center" vertical="center"/>
    </xf>
    <xf numFmtId="37" fontId="4" fillId="3" borderId="7" xfId="0" applyNumberFormat="1" applyFont="1" applyFill="1" applyBorder="1" applyAlignment="1">
      <alignment horizontal="left" vertical="center"/>
    </xf>
    <xf numFmtId="0" fontId="4" fillId="3" borderId="0" xfId="0" applyFont="1" applyFill="1" applyAlignment="1">
      <alignment horizontal="left" vertical="center"/>
    </xf>
    <xf numFmtId="0" fontId="3" fillId="3" borderId="0" xfId="0" applyFont="1" applyFill="1" applyAlignment="1">
      <alignment horizontal="fill" vertical="center"/>
    </xf>
    <xf numFmtId="37" fontId="4" fillId="3" borderId="7" xfId="0" applyNumberFormat="1" applyFont="1" applyFill="1" applyBorder="1" applyAlignment="1">
      <alignment vertical="center"/>
    </xf>
    <xf numFmtId="37" fontId="3" fillId="9" borderId="2" xfId="0" applyNumberFormat="1" applyFont="1" applyFill="1" applyBorder="1" applyAlignment="1">
      <alignment vertical="center"/>
    </xf>
    <xf numFmtId="0" fontId="3" fillId="6" borderId="7" xfId="0" applyFont="1" applyFill="1" applyBorder="1" applyAlignment="1" applyProtection="1">
      <alignment vertical="center"/>
      <protection locked="0"/>
    </xf>
    <xf numFmtId="0" fontId="16" fillId="0" borderId="0" xfId="0" applyFont="1" applyAlignment="1">
      <alignment vertical="center"/>
    </xf>
    <xf numFmtId="0" fontId="17" fillId="3" borderId="0" xfId="0" applyFont="1" applyFill="1" applyAlignment="1">
      <alignment horizontal="center" vertical="center"/>
    </xf>
    <xf numFmtId="1" fontId="3" fillId="3" borderId="5" xfId="0" applyNumberFormat="1" applyFont="1" applyFill="1" applyBorder="1" applyAlignment="1">
      <alignment horizontal="center" vertical="center"/>
    </xf>
    <xf numFmtId="0" fontId="3" fillId="2" borderId="2" xfId="0" applyFont="1" applyFill="1" applyBorder="1" applyAlignment="1" applyProtection="1">
      <alignment horizontal="left" vertical="center"/>
      <protection locked="0"/>
    </xf>
    <xf numFmtId="37" fontId="3" fillId="3" borderId="0" xfId="0" applyNumberFormat="1" applyFont="1" applyFill="1" applyAlignment="1">
      <alignment horizontal="fill" vertical="center"/>
    </xf>
    <xf numFmtId="0" fontId="3" fillId="7" borderId="0" xfId="0" applyFont="1" applyFill="1" applyAlignment="1">
      <alignment horizontal="left" vertical="center"/>
    </xf>
    <xf numFmtId="37" fontId="4" fillId="9" borderId="12" xfId="0" applyNumberFormat="1" applyFont="1" applyFill="1" applyBorder="1" applyAlignment="1">
      <alignment vertical="center"/>
    </xf>
    <xf numFmtId="0" fontId="16" fillId="5" borderId="0" xfId="0" applyFont="1" applyFill="1" applyAlignment="1">
      <alignment vertical="center"/>
    </xf>
    <xf numFmtId="37" fontId="3" fillId="5" borderId="0" xfId="0" applyNumberFormat="1" applyFont="1" applyFill="1" applyAlignment="1">
      <alignment vertical="center"/>
    </xf>
    <xf numFmtId="37" fontId="3" fillId="0" borderId="0" xfId="0" applyNumberFormat="1" applyFont="1" applyAlignment="1">
      <alignment vertical="center"/>
    </xf>
    <xf numFmtId="166" fontId="3" fillId="3" borderId="0" xfId="0" applyNumberFormat="1" applyFont="1" applyFill="1" applyAlignment="1">
      <alignment vertical="center"/>
    </xf>
    <xf numFmtId="37" fontId="3" fillId="3" borderId="0" xfId="0" quotePrefix="1" applyNumberFormat="1" applyFont="1" applyFill="1" applyAlignment="1">
      <alignment horizontal="right" vertical="center"/>
    </xf>
    <xf numFmtId="3" fontId="3" fillId="3" borderId="2" xfId="1" applyNumberFormat="1" applyFont="1" applyFill="1" applyBorder="1" applyAlignment="1" applyProtection="1">
      <alignment horizontal="right" vertical="center"/>
    </xf>
    <xf numFmtId="37" fontId="3" fillId="3" borderId="15" xfId="0" applyNumberFormat="1" applyFont="1" applyFill="1" applyBorder="1" applyAlignment="1">
      <alignment horizontal="left" vertical="center"/>
    </xf>
    <xf numFmtId="3" fontId="3" fillId="3" borderId="2" xfId="0" applyNumberFormat="1" applyFont="1" applyFill="1" applyBorder="1" applyAlignment="1">
      <alignment horizontal="fill" vertical="center"/>
    </xf>
    <xf numFmtId="3" fontId="3" fillId="6" borderId="2" xfId="0" applyNumberFormat="1" applyFont="1" applyFill="1" applyBorder="1" applyAlignment="1" applyProtection="1">
      <alignment horizontal="right" vertical="center"/>
      <protection locked="0"/>
    </xf>
    <xf numFmtId="3" fontId="3" fillId="3" borderId="2" xfId="0" applyNumberFormat="1" applyFont="1" applyFill="1" applyBorder="1" applyAlignment="1">
      <alignment horizontal="right" vertical="center"/>
    </xf>
    <xf numFmtId="3" fontId="3" fillId="2" borderId="2" xfId="0" applyNumberFormat="1" applyFont="1" applyFill="1" applyBorder="1" applyAlignment="1" applyProtection="1">
      <alignment horizontal="right" vertical="center"/>
      <protection locked="0"/>
    </xf>
    <xf numFmtId="0" fontId="3" fillId="6" borderId="10" xfId="0" applyFont="1" applyFill="1" applyBorder="1" applyAlignment="1" applyProtection="1">
      <alignment horizontal="left" vertical="center"/>
      <protection locked="0"/>
    </xf>
    <xf numFmtId="3" fontId="16" fillId="8" borderId="2" xfId="0" applyNumberFormat="1" applyFont="1" applyFill="1" applyBorder="1" applyAlignment="1">
      <alignment horizontal="center" vertical="center"/>
    </xf>
    <xf numFmtId="3" fontId="3" fillId="9" borderId="2" xfId="0" applyNumberFormat="1" applyFont="1" applyFill="1" applyBorder="1" applyAlignment="1">
      <alignment vertical="center"/>
    </xf>
    <xf numFmtId="0" fontId="3" fillId="2" borderId="7" xfId="0" applyFont="1" applyFill="1" applyBorder="1" applyAlignment="1">
      <alignment horizontal="left" vertical="center"/>
    </xf>
    <xf numFmtId="0" fontId="3" fillId="2" borderId="7" xfId="0" applyFont="1" applyFill="1" applyBorder="1" applyAlignment="1">
      <alignment vertical="center"/>
    </xf>
    <xf numFmtId="0" fontId="3" fillId="3" borderId="0" xfId="0" applyFont="1" applyFill="1" applyAlignment="1" applyProtection="1">
      <alignment horizontal="center" vertical="center"/>
      <protection locked="0"/>
    </xf>
    <xf numFmtId="37" fontId="3" fillId="2" borderId="7" xfId="0" applyNumberFormat="1" applyFont="1" applyFill="1" applyBorder="1" applyAlignment="1">
      <alignment vertical="center"/>
    </xf>
    <xf numFmtId="0" fontId="23" fillId="3" borderId="0" xfId="0" applyFont="1" applyFill="1" applyAlignment="1">
      <alignment horizontal="center" vertical="center"/>
    </xf>
    <xf numFmtId="0" fontId="3" fillId="3" borderId="4" xfId="0" applyFont="1" applyFill="1" applyBorder="1" applyAlignment="1">
      <alignment horizontal="center" vertical="center"/>
    </xf>
    <xf numFmtId="0" fontId="14" fillId="3" borderId="5" xfId="0" applyFont="1" applyFill="1" applyBorder="1" applyAlignment="1">
      <alignment vertical="center"/>
    </xf>
    <xf numFmtId="0" fontId="14" fillId="3" borderId="4" xfId="0" applyFont="1" applyFill="1" applyBorder="1" applyAlignment="1">
      <alignment horizontal="center" vertical="center"/>
    </xf>
    <xf numFmtId="0" fontId="14" fillId="3" borderId="11" xfId="0" applyFont="1" applyFill="1" applyBorder="1" applyAlignment="1">
      <alignment vertical="center"/>
    </xf>
    <xf numFmtId="0" fontId="14" fillId="3" borderId="2" xfId="0" applyFont="1" applyFill="1" applyBorder="1" applyAlignment="1">
      <alignment horizontal="center" vertical="center"/>
    </xf>
    <xf numFmtId="0" fontId="14" fillId="3" borderId="15" xfId="0" applyFont="1" applyFill="1" applyBorder="1" applyAlignment="1">
      <alignment vertical="center"/>
    </xf>
    <xf numFmtId="3" fontId="14" fillId="2" borderId="2" xfId="0" applyNumberFormat="1" applyFont="1" applyFill="1" applyBorder="1" applyAlignment="1" applyProtection="1">
      <alignment horizontal="center" vertical="center"/>
      <protection locked="0"/>
    </xf>
    <xf numFmtId="0" fontId="14" fillId="3" borderId="1" xfId="0" applyFont="1" applyFill="1" applyBorder="1" applyAlignment="1">
      <alignment vertical="center"/>
    </xf>
    <xf numFmtId="3" fontId="14" fillId="7" borderId="2"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2"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0" xfId="0" applyFont="1" applyFill="1" applyAlignment="1" applyProtection="1">
      <alignment vertical="center"/>
      <protection locked="0"/>
    </xf>
    <xf numFmtId="0" fontId="14" fillId="2" borderId="4" xfId="0" applyFont="1" applyFill="1" applyBorder="1" applyAlignment="1" applyProtection="1">
      <alignment vertical="center"/>
      <protection locked="0"/>
    </xf>
    <xf numFmtId="0" fontId="14" fillId="2" borderId="6" xfId="0" applyFont="1" applyFill="1" applyBorder="1" applyAlignment="1" applyProtection="1">
      <alignment vertical="center"/>
      <protection locked="0"/>
    </xf>
    <xf numFmtId="0" fontId="14" fillId="2" borderId="13" xfId="0" applyFont="1" applyFill="1" applyBorder="1" applyAlignment="1" applyProtection="1">
      <alignment vertical="center"/>
      <protection locked="0"/>
    </xf>
    <xf numFmtId="3" fontId="14" fillId="3" borderId="2" xfId="0" applyNumberFormat="1" applyFont="1" applyFill="1" applyBorder="1" applyAlignment="1">
      <alignment horizontal="center" vertical="center"/>
    </xf>
    <xf numFmtId="3" fontId="19" fillId="9" borderId="2" xfId="0" applyNumberFormat="1" applyFont="1" applyFill="1" applyBorder="1" applyAlignment="1">
      <alignment horizontal="center" vertical="center"/>
    </xf>
    <xf numFmtId="3" fontId="3" fillId="0" borderId="0" xfId="0" applyNumberFormat="1" applyFont="1" applyAlignment="1">
      <alignment vertical="center"/>
    </xf>
    <xf numFmtId="3" fontId="19" fillId="7" borderId="2" xfId="0" applyNumberFormat="1" applyFont="1" applyFill="1" applyBorder="1" applyAlignment="1">
      <alignment horizontal="center" vertical="center"/>
    </xf>
    <xf numFmtId="0" fontId="3" fillId="0" borderId="0" xfId="0" applyFont="1" applyAlignment="1">
      <alignment horizontal="centerContinuous" vertical="center"/>
    </xf>
    <xf numFmtId="164" fontId="3" fillId="3" borderId="2" xfId="0" applyNumberFormat="1" applyFont="1" applyFill="1" applyBorder="1" applyAlignment="1">
      <alignment vertical="center"/>
    </xf>
    <xf numFmtId="1" fontId="3" fillId="3" borderId="0" xfId="0" applyNumberFormat="1" applyFont="1" applyFill="1" applyAlignment="1">
      <alignment vertical="center"/>
    </xf>
    <xf numFmtId="1" fontId="5" fillId="3" borderId="0" xfId="0" applyNumberFormat="1" applyFont="1" applyFill="1" applyAlignment="1">
      <alignment horizontal="center" vertical="center"/>
    </xf>
    <xf numFmtId="37" fontId="3" fillId="3" borderId="12" xfId="0" applyNumberFormat="1" applyFont="1" applyFill="1" applyBorder="1" applyAlignment="1">
      <alignment vertical="center"/>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3" fontId="3" fillId="2" borderId="2" xfId="0" applyNumberFormat="1" applyFont="1" applyFill="1" applyBorder="1" applyAlignment="1" applyProtection="1">
      <alignment horizontal="center" vertical="center"/>
      <protection locked="0"/>
    </xf>
    <xf numFmtId="172" fontId="3" fillId="3" borderId="2" xfId="0" applyNumberFormat="1" applyFont="1" applyFill="1" applyBorder="1" applyAlignment="1">
      <alignment horizontal="center" vertical="center"/>
    </xf>
    <xf numFmtId="3" fontId="3" fillId="2" borderId="5" xfId="0" applyNumberFormat="1" applyFont="1" applyFill="1" applyBorder="1" applyAlignment="1" applyProtection="1">
      <alignment horizontal="center" vertical="center"/>
      <protection locked="0"/>
    </xf>
    <xf numFmtId="3" fontId="3" fillId="3" borderId="12" xfId="0" applyNumberFormat="1" applyFont="1" applyFill="1" applyBorder="1" applyAlignment="1">
      <alignment horizontal="center" vertical="center"/>
    </xf>
    <xf numFmtId="172" fontId="3" fillId="3" borderId="12"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72" fontId="3" fillId="3" borderId="1" xfId="0" applyNumberFormat="1" applyFont="1" applyFill="1" applyBorder="1" applyAlignment="1">
      <alignment horizontal="center" vertical="center"/>
    </xf>
    <xf numFmtId="172" fontId="3" fillId="3" borderId="0" xfId="0" applyNumberFormat="1" applyFont="1" applyFill="1" applyAlignment="1">
      <alignment horizontal="center" vertical="center"/>
    </xf>
    <xf numFmtId="0" fontId="0" fillId="3" borderId="0" xfId="0" applyFill="1" applyAlignment="1">
      <alignment horizontal="center" vertical="center"/>
    </xf>
    <xf numFmtId="171" fontId="3" fillId="3" borderId="0" xfId="0" applyNumberFormat="1" applyFont="1" applyFill="1" applyAlignment="1">
      <alignment vertical="center"/>
    </xf>
    <xf numFmtId="0" fontId="24" fillId="0" borderId="0" xfId="0" applyFont="1" applyAlignment="1">
      <alignment horizontal="center" vertical="center"/>
    </xf>
    <xf numFmtId="0" fontId="4" fillId="0" borderId="0" xfId="0" applyFont="1" applyAlignment="1">
      <alignment vertical="center" wrapText="1"/>
    </xf>
    <xf numFmtId="3" fontId="29" fillId="9" borderId="0" xfId="0" applyNumberFormat="1" applyFont="1" applyFill="1" applyAlignment="1">
      <alignment horizontal="center" vertical="center"/>
    </xf>
    <xf numFmtId="0" fontId="18" fillId="0" borderId="0" xfId="0" applyFont="1" applyAlignment="1">
      <alignment horizontal="center"/>
    </xf>
    <xf numFmtId="0" fontId="2" fillId="0" borderId="0" xfId="0" applyFont="1"/>
    <xf numFmtId="0" fontId="34" fillId="0" borderId="0" xfId="0" applyFont="1"/>
    <xf numFmtId="0" fontId="42"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14" fillId="7" borderId="6" xfId="0" applyNumberFormat="1" applyFont="1" applyFill="1" applyBorder="1" applyAlignment="1">
      <alignment horizontal="center" vertical="center"/>
    </xf>
    <xf numFmtId="14" fontId="3" fillId="6" borderId="2" xfId="0" applyNumberFormat="1" applyFont="1" applyFill="1" applyBorder="1" applyAlignment="1" applyProtection="1">
      <alignment vertical="center"/>
      <protection locked="0"/>
    </xf>
    <xf numFmtId="14" fontId="3" fillId="6" borderId="2" xfId="0" applyNumberFormat="1" applyFont="1" applyFill="1" applyBorder="1" applyAlignment="1" applyProtection="1">
      <alignment horizontal="center" vertical="center"/>
      <protection locked="0"/>
    </xf>
    <xf numFmtId="37" fontId="3" fillId="12" borderId="2" xfId="0" applyNumberFormat="1" applyFont="1" applyFill="1" applyBorder="1" applyAlignment="1" applyProtection="1">
      <alignment vertical="center"/>
      <protection locked="0"/>
    </xf>
    <xf numFmtId="3" fontId="3" fillId="6" borderId="7" xfId="0" applyNumberFormat="1" applyFont="1" applyFill="1" applyBorder="1" applyAlignment="1" applyProtection="1">
      <alignment vertical="center"/>
      <protection locked="0"/>
    </xf>
    <xf numFmtId="3" fontId="16" fillId="8" borderId="7" xfId="0" applyNumberFormat="1" applyFont="1" applyFill="1" applyBorder="1" applyAlignment="1">
      <alignment horizontal="center" vertical="center"/>
    </xf>
    <xf numFmtId="0" fontId="3" fillId="3" borderId="15" xfId="0" applyFont="1" applyFill="1" applyBorder="1" applyAlignment="1">
      <alignment horizontal="center" vertical="center"/>
    </xf>
    <xf numFmtId="3" fontId="3" fillId="3" borderId="7" xfId="0" applyNumberFormat="1" applyFont="1" applyFill="1" applyBorder="1" applyAlignment="1">
      <alignment vertical="center"/>
    </xf>
    <xf numFmtId="3" fontId="3" fillId="3" borderId="7" xfId="0" applyNumberFormat="1" applyFont="1" applyFill="1" applyBorder="1" applyAlignment="1" applyProtection="1">
      <alignment horizontal="right" vertical="center"/>
      <protection locked="0"/>
    </xf>
    <xf numFmtId="3" fontId="3" fillId="6" borderId="7" xfId="0" applyNumberFormat="1" applyFont="1" applyFill="1" applyBorder="1" applyAlignment="1" applyProtection="1">
      <alignment horizontal="right" vertical="center"/>
      <protection locked="0"/>
    </xf>
    <xf numFmtId="3" fontId="3" fillId="3" borderId="7" xfId="0" applyNumberFormat="1" applyFont="1" applyFill="1" applyBorder="1" applyAlignment="1">
      <alignment horizontal="right" vertical="center"/>
    </xf>
    <xf numFmtId="3" fontId="3" fillId="3" borderId="7" xfId="1"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center" vertical="center"/>
      <protection locked="0"/>
    </xf>
    <xf numFmtId="0" fontId="38" fillId="0" borderId="0" xfId="0" applyFont="1" applyAlignment="1">
      <alignment vertical="center"/>
    </xf>
    <xf numFmtId="0" fontId="11" fillId="9" borderId="1" xfId="42" applyFont="1" applyFill="1" applyBorder="1" applyAlignment="1">
      <alignment vertical="center"/>
    </xf>
    <xf numFmtId="0" fontId="11" fillId="3" borderId="16" xfId="42" applyFont="1" applyFill="1" applyBorder="1" applyAlignment="1">
      <alignment vertical="center"/>
    </xf>
    <xf numFmtId="0" fontId="11" fillId="9" borderId="8" xfId="42" applyFont="1" applyFill="1" applyBorder="1" applyAlignment="1">
      <alignment vertical="center"/>
    </xf>
    <xf numFmtId="3" fontId="16" fillId="2" borderId="2" xfId="0" applyNumberFormat="1" applyFont="1" applyFill="1" applyBorder="1" applyAlignment="1">
      <alignment horizontal="center" vertical="center"/>
    </xf>
    <xf numFmtId="3" fontId="16" fillId="8" borderId="5" xfId="0" applyNumberFormat="1" applyFont="1" applyFill="1" applyBorder="1" applyAlignment="1">
      <alignment horizontal="center" vertical="center"/>
    </xf>
    <xf numFmtId="0" fontId="4" fillId="3" borderId="8" xfId="0" applyFont="1" applyFill="1" applyBorder="1" applyAlignment="1">
      <alignment vertical="center"/>
    </xf>
    <xf numFmtId="0" fontId="4" fillId="3" borderId="1" xfId="0" applyFont="1" applyFill="1" applyBorder="1" applyAlignment="1">
      <alignment vertical="center"/>
    </xf>
    <xf numFmtId="37" fontId="4" fillId="3" borderId="1" xfId="0" applyNumberFormat="1" applyFont="1" applyFill="1" applyBorder="1" applyAlignment="1">
      <alignment vertical="center"/>
    </xf>
    <xf numFmtId="37" fontId="4" fillId="3" borderId="0" xfId="0" applyNumberFormat="1" applyFont="1" applyFill="1" applyAlignment="1">
      <alignment vertical="center"/>
    </xf>
    <xf numFmtId="3" fontId="3" fillId="9" borderId="7" xfId="0" applyNumberFormat="1" applyFont="1" applyFill="1" applyBorder="1" applyAlignment="1">
      <alignment vertical="center"/>
    </xf>
    <xf numFmtId="0" fontId="26" fillId="0" borderId="0" xfId="0" applyFont="1"/>
    <xf numFmtId="0" fontId="25" fillId="0" borderId="0" xfId="0" applyFont="1" applyAlignment="1">
      <alignment wrapText="1"/>
    </xf>
    <xf numFmtId="0" fontId="0" fillId="0" borderId="0" xfId="0" applyAlignment="1">
      <alignment vertical="center" wrapText="1"/>
    </xf>
    <xf numFmtId="0" fontId="4" fillId="0" borderId="0" xfId="0" applyFont="1" applyAlignment="1">
      <alignment wrapText="1"/>
    </xf>
    <xf numFmtId="0" fontId="10" fillId="0" borderId="0" xfId="0" applyFont="1" applyAlignment="1">
      <alignment wrapText="1"/>
    </xf>
    <xf numFmtId="0" fontId="30" fillId="0" borderId="0" xfId="0" applyFont="1" applyAlignment="1">
      <alignment vertical="center"/>
    </xf>
    <xf numFmtId="0" fontId="31" fillId="0" borderId="0" xfId="0" applyFont="1" applyAlignment="1">
      <alignment horizontal="center"/>
    </xf>
    <xf numFmtId="173" fontId="11" fillId="3" borderId="16" xfId="42" applyNumberFormat="1" applyFont="1" applyFill="1" applyBorder="1" applyAlignment="1">
      <alignment vertical="center"/>
    </xf>
    <xf numFmtId="173" fontId="11" fillId="3" borderId="15" xfId="42" applyNumberFormat="1" applyFont="1" applyFill="1" applyBorder="1" applyAlignment="1">
      <alignment horizontal="center" vertical="center"/>
    </xf>
    <xf numFmtId="0" fontId="11" fillId="3" borderId="0" xfId="42" applyFont="1" applyFill="1" applyAlignment="1">
      <alignment vertical="center"/>
    </xf>
    <xf numFmtId="0" fontId="11" fillId="3" borderId="13" xfId="42" applyFont="1" applyFill="1" applyBorder="1" applyAlignment="1">
      <alignment vertical="center"/>
    </xf>
    <xf numFmtId="0" fontId="11" fillId="3" borderId="0" xfId="42" applyFont="1" applyFill="1" applyAlignment="1">
      <alignment horizontal="left" vertical="center"/>
    </xf>
    <xf numFmtId="173" fontId="11" fillId="3" borderId="16" xfId="42" applyNumberFormat="1" applyFont="1" applyFill="1" applyBorder="1" applyAlignment="1">
      <alignment horizontal="center" vertical="center"/>
    </xf>
    <xf numFmtId="0" fontId="3" fillId="3" borderId="0" xfId="66" applyFont="1" applyFill="1" applyAlignment="1">
      <alignment horizontal="right" vertical="center"/>
    </xf>
    <xf numFmtId="0" fontId="43" fillId="3" borderId="0" xfId="0" applyFont="1" applyFill="1" applyAlignment="1">
      <alignment horizontal="center" vertical="center"/>
    </xf>
    <xf numFmtId="37" fontId="3" fillId="3" borderId="6" xfId="0" applyNumberFormat="1" applyFont="1" applyFill="1" applyBorder="1" applyAlignment="1">
      <alignment horizontal="fill" vertical="center"/>
    </xf>
    <xf numFmtId="0" fontId="2" fillId="0" borderId="0" xfId="42"/>
    <xf numFmtId="0" fontId="11" fillId="13" borderId="16" xfId="62" applyFont="1" applyFill="1" applyBorder="1"/>
    <xf numFmtId="0" fontId="3" fillId="13" borderId="0" xfId="62" applyFont="1" applyFill="1"/>
    <xf numFmtId="173" fontId="3" fillId="13" borderId="13" xfId="62" applyNumberFormat="1" applyFont="1" applyFill="1" applyBorder="1" applyAlignment="1">
      <alignment horizontal="center"/>
    </xf>
    <xf numFmtId="0" fontId="3" fillId="13" borderId="15" xfId="62" applyFont="1" applyFill="1" applyBorder="1"/>
    <xf numFmtId="0" fontId="3" fillId="13" borderId="1" xfId="62" applyFont="1" applyFill="1" applyBorder="1"/>
    <xf numFmtId="173" fontId="3" fillId="14" borderId="8" xfId="62" applyNumberFormat="1" applyFont="1" applyFill="1" applyBorder="1" applyAlignment="1">
      <alignment horizontal="center"/>
    </xf>
    <xf numFmtId="0" fontId="3" fillId="0" borderId="0" xfId="62" applyFont="1"/>
    <xf numFmtId="0" fontId="3" fillId="13" borderId="16" xfId="62" applyFont="1" applyFill="1" applyBorder="1"/>
    <xf numFmtId="0" fontId="3" fillId="13" borderId="13" xfId="62" applyFont="1" applyFill="1" applyBorder="1"/>
    <xf numFmtId="171" fontId="3" fillId="13" borderId="13" xfId="62" applyNumberFormat="1" applyFont="1" applyFill="1" applyBorder="1" applyAlignment="1">
      <alignment horizontal="center"/>
    </xf>
    <xf numFmtId="0" fontId="3" fillId="14" borderId="16" xfId="62" applyFont="1" applyFill="1" applyBorder="1"/>
    <xf numFmtId="0" fontId="3" fillId="14" borderId="0" xfId="62" applyFont="1" applyFill="1"/>
    <xf numFmtId="0" fontId="3" fillId="14" borderId="15" xfId="62" applyFont="1" applyFill="1" applyBorder="1"/>
    <xf numFmtId="0" fontId="3" fillId="14" borderId="1" xfId="62" applyFont="1" applyFill="1" applyBorder="1"/>
    <xf numFmtId="173" fontId="3" fillId="13" borderId="8" xfId="62" applyNumberFormat="1" applyFont="1" applyFill="1" applyBorder="1" applyAlignment="1">
      <alignment horizontal="center"/>
    </xf>
    <xf numFmtId="172" fontId="3" fillId="12" borderId="13" xfId="62" applyNumberFormat="1" applyFont="1" applyFill="1" applyBorder="1" applyAlignment="1" applyProtection="1">
      <alignment horizontal="center"/>
      <protection locked="0"/>
    </xf>
    <xf numFmtId="0" fontId="26" fillId="0" borderId="0" xfId="0" applyFont="1" applyAlignment="1">
      <alignment vertical="center"/>
    </xf>
    <xf numFmtId="0" fontId="3" fillId="0" borderId="0" xfId="66" applyFont="1" applyAlignment="1">
      <alignment vertical="center" wrapText="1"/>
    </xf>
    <xf numFmtId="173" fontId="3" fillId="14" borderId="13" xfId="62" applyNumberFormat="1" applyFont="1" applyFill="1" applyBorder="1" applyAlignment="1">
      <alignment horizontal="center"/>
    </xf>
    <xf numFmtId="0" fontId="3" fillId="14" borderId="15" xfId="0" applyFont="1" applyFill="1" applyBorder="1" applyAlignment="1">
      <alignment vertical="center"/>
    </xf>
    <xf numFmtId="0" fontId="3" fillId="14" borderId="1" xfId="0" applyFont="1" applyFill="1" applyBorder="1" applyAlignment="1">
      <alignment vertical="center"/>
    </xf>
    <xf numFmtId="173" fontId="3" fillId="14" borderId="8"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3" fillId="0" borderId="0" xfId="485" applyFont="1" applyAlignment="1">
      <alignment horizontal="left" vertical="center"/>
    </xf>
    <xf numFmtId="10" fontId="3" fillId="6" borderId="2" xfId="0" applyNumberFormat="1" applyFont="1" applyFill="1" applyBorder="1" applyAlignment="1" applyProtection="1">
      <alignment vertical="center"/>
      <protection locked="0"/>
    </xf>
    <xf numFmtId="175" fontId="3" fillId="3" borderId="0" xfId="0" applyNumberFormat="1" applyFont="1" applyFill="1" applyAlignment="1">
      <alignment horizontal="center" vertical="center"/>
    </xf>
    <xf numFmtId="0" fontId="11" fillId="13" borderId="16" xfId="0" applyFont="1" applyFill="1" applyBorder="1" applyAlignment="1">
      <alignment vertical="center"/>
    </xf>
    <xf numFmtId="0" fontId="3" fillId="13" borderId="0" xfId="0" applyFont="1" applyFill="1" applyAlignment="1">
      <alignment vertical="center"/>
    </xf>
    <xf numFmtId="0" fontId="11" fillId="13" borderId="0" xfId="0" applyFont="1" applyFill="1" applyAlignment="1">
      <alignment vertical="center"/>
    </xf>
    <xf numFmtId="173" fontId="11" fillId="13" borderId="13" xfId="0" applyNumberFormat="1" applyFont="1" applyFill="1" applyBorder="1" applyAlignment="1">
      <alignment horizontal="center" vertical="center"/>
    </xf>
    <xf numFmtId="0" fontId="11" fillId="13" borderId="16" xfId="0" applyFont="1" applyFill="1" applyBorder="1" applyAlignment="1">
      <alignment horizontal="left" vertical="center"/>
    </xf>
    <xf numFmtId="173" fontId="11" fillId="12" borderId="2" xfId="0" applyNumberFormat="1" applyFont="1" applyFill="1" applyBorder="1" applyAlignment="1" applyProtection="1">
      <alignment horizontal="center" vertical="center"/>
      <protection locked="0"/>
    </xf>
    <xf numFmtId="172" fontId="12" fillId="13" borderId="4" xfId="0" applyNumberFormat="1" applyFont="1" applyFill="1" applyBorder="1" applyAlignment="1">
      <alignment horizontal="center" vertical="center"/>
    </xf>
    <xf numFmtId="0" fontId="12" fillId="14" borderId="16" xfId="0" applyFont="1" applyFill="1" applyBorder="1" applyAlignment="1">
      <alignment vertical="center"/>
    </xf>
    <xf numFmtId="0" fontId="3" fillId="14" borderId="0" xfId="0" applyFont="1" applyFill="1" applyAlignment="1">
      <alignment vertical="center"/>
    </xf>
    <xf numFmtId="0" fontId="11" fillId="14" borderId="0" xfId="0" applyFont="1" applyFill="1" applyAlignment="1">
      <alignment vertical="center"/>
    </xf>
    <xf numFmtId="173" fontId="12" fillId="14" borderId="4" xfId="0" applyNumberFormat="1" applyFont="1" applyFill="1" applyBorder="1" applyAlignment="1">
      <alignment horizontal="center" vertical="center"/>
    </xf>
    <xf numFmtId="37" fontId="11" fillId="3" borderId="15" xfId="0" applyNumberFormat="1" applyFont="1" applyFill="1" applyBorder="1" applyAlignment="1">
      <alignment horizontal="left" vertical="center"/>
    </xf>
    <xf numFmtId="0" fontId="13" fillId="13" borderId="1" xfId="0" applyFont="1" applyFill="1" applyBorder="1" applyAlignment="1">
      <alignment horizontal="left" vertical="center"/>
    </xf>
    <xf numFmtId="173" fontId="12" fillId="14" borderId="8" xfId="0" applyNumberFormat="1" applyFont="1" applyFill="1" applyBorder="1" applyAlignment="1" applyProtection="1">
      <alignment horizontal="center" vertical="center"/>
      <protection locked="0"/>
    </xf>
    <xf numFmtId="0" fontId="3" fillId="3" borderId="13" xfId="0" applyFont="1" applyFill="1" applyBorder="1" applyAlignment="1">
      <alignment vertical="center"/>
    </xf>
    <xf numFmtId="0" fontId="3" fillId="13" borderId="13" xfId="0" applyFont="1" applyFill="1" applyBorder="1" applyAlignment="1" applyProtection="1">
      <alignment vertical="center"/>
      <protection locked="0"/>
    </xf>
    <xf numFmtId="0" fontId="44" fillId="0" borderId="0" xfId="0" applyFont="1" applyProtection="1">
      <protection locked="0"/>
    </xf>
    <xf numFmtId="0" fontId="3" fillId="14" borderId="8" xfId="0" applyFont="1" applyFill="1" applyBorder="1" applyAlignment="1" applyProtection="1">
      <alignment vertical="center"/>
      <protection locked="0"/>
    </xf>
    <xf numFmtId="0" fontId="11" fillId="13" borderId="0" xfId="0" applyFont="1" applyFill="1" applyAlignment="1">
      <alignment horizontal="left" vertical="center"/>
    </xf>
    <xf numFmtId="37" fontId="3" fillId="3" borderId="13" xfId="0" applyNumberFormat="1" applyFont="1" applyFill="1" applyBorder="1" applyAlignment="1">
      <alignment horizontal="right" vertical="center"/>
    </xf>
    <xf numFmtId="173" fontId="11" fillId="13" borderId="16" xfId="0" applyNumberFormat="1" applyFont="1" applyFill="1" applyBorder="1" applyAlignment="1">
      <alignment horizontal="center" vertical="center"/>
    </xf>
    <xf numFmtId="0" fontId="11" fillId="13" borderId="13" xfId="0" applyFont="1" applyFill="1" applyBorder="1" applyAlignment="1">
      <alignment vertical="center"/>
    </xf>
    <xf numFmtId="173" fontId="11" fillId="13" borderId="15" xfId="0" applyNumberFormat="1" applyFont="1" applyFill="1" applyBorder="1" applyAlignment="1">
      <alignment horizontal="center" vertical="center"/>
    </xf>
    <xf numFmtId="173" fontId="11" fillId="13" borderId="16" xfId="0" applyNumberFormat="1" applyFont="1" applyFill="1" applyBorder="1" applyAlignment="1">
      <alignment vertical="center"/>
    </xf>
    <xf numFmtId="0" fontId="3" fillId="13" borderId="13" xfId="0" applyFont="1" applyFill="1" applyBorder="1" applyProtection="1">
      <protection locked="0"/>
    </xf>
    <xf numFmtId="173" fontId="11" fillId="14" borderId="15" xfId="0" applyNumberFormat="1" applyFont="1" applyFill="1" applyBorder="1" applyAlignment="1">
      <alignment horizontal="center" vertical="center"/>
    </xf>
    <xf numFmtId="0" fontId="11" fillId="14" borderId="1" xfId="0" applyFont="1" applyFill="1" applyBorder="1" applyAlignment="1">
      <alignment vertical="center"/>
    </xf>
    <xf numFmtId="0" fontId="11" fillId="14" borderId="8" xfId="0" applyFont="1" applyFill="1" applyBorder="1" applyAlignment="1">
      <alignment vertical="center"/>
    </xf>
    <xf numFmtId="37" fontId="3" fillId="14" borderId="8" xfId="0" applyNumberFormat="1" applyFont="1" applyFill="1" applyBorder="1" applyAlignment="1">
      <alignment horizontal="right" vertical="center"/>
    </xf>
    <xf numFmtId="0" fontId="3" fillId="13" borderId="16" xfId="0" applyFont="1" applyFill="1" applyBorder="1" applyAlignment="1">
      <alignment vertical="center"/>
    </xf>
    <xf numFmtId="173" fontId="14" fillId="13" borderId="16" xfId="0" applyNumberFormat="1" applyFont="1" applyFill="1" applyBorder="1" applyAlignment="1">
      <alignment horizontal="center" vertical="center"/>
    </xf>
    <xf numFmtId="0" fontId="3" fillId="13" borderId="13" xfId="0" applyFont="1" applyFill="1" applyBorder="1" applyAlignment="1">
      <alignment vertical="center"/>
    </xf>
    <xf numFmtId="173" fontId="14" fillId="13" borderId="16" xfId="0" applyNumberFormat="1" applyFont="1" applyFill="1" applyBorder="1" applyAlignment="1">
      <alignment vertical="center"/>
    </xf>
    <xf numFmtId="0" fontId="14" fillId="13" borderId="0" xfId="0" applyFont="1" applyFill="1" applyAlignment="1">
      <alignment vertical="center"/>
    </xf>
    <xf numFmtId="173" fontId="14" fillId="13" borderId="15" xfId="0" applyNumberFormat="1" applyFont="1" applyFill="1" applyBorder="1" applyAlignment="1">
      <alignment horizontal="center" vertical="center"/>
    </xf>
    <xf numFmtId="173" fontId="14" fillId="14" borderId="15" xfId="0" applyNumberFormat="1" applyFont="1" applyFill="1" applyBorder="1" applyAlignment="1">
      <alignment horizontal="center" vertical="center"/>
    </xf>
    <xf numFmtId="0" fontId="3" fillId="14" borderId="8" xfId="0" applyFont="1" applyFill="1" applyBorder="1" applyAlignment="1">
      <alignment vertical="center"/>
    </xf>
    <xf numFmtId="0" fontId="3" fillId="14" borderId="8" xfId="0" applyFont="1" applyFill="1" applyBorder="1" applyProtection="1">
      <protection locked="0"/>
    </xf>
    <xf numFmtId="173" fontId="11" fillId="14" borderId="15" xfId="42" applyNumberFormat="1" applyFont="1" applyFill="1" applyBorder="1" applyAlignment="1">
      <alignment horizontal="center" vertical="center"/>
    </xf>
    <xf numFmtId="175" fontId="3" fillId="6" borderId="2" xfId="0" applyNumberFormat="1" applyFont="1" applyFill="1" applyBorder="1" applyAlignment="1" applyProtection="1">
      <alignment vertical="center"/>
      <protection locked="0"/>
    </xf>
    <xf numFmtId="0" fontId="4" fillId="3" borderId="0" xfId="42" applyFont="1" applyFill="1" applyAlignment="1">
      <alignment vertical="center"/>
    </xf>
    <xf numFmtId="1" fontId="3" fillId="3" borderId="10" xfId="0" applyNumberFormat="1" applyFont="1" applyFill="1" applyBorder="1" applyAlignment="1">
      <alignment horizontal="center" vertical="center"/>
    </xf>
    <xf numFmtId="37" fontId="3" fillId="3" borderId="10" xfId="0" applyNumberFormat="1" applyFont="1" applyFill="1" applyBorder="1" applyAlignment="1">
      <alignment horizontal="center" vertical="center"/>
    </xf>
    <xf numFmtId="0" fontId="21" fillId="3" borderId="0" xfId="0" applyFont="1" applyFill="1" applyAlignment="1">
      <alignment horizontal="center" vertical="center"/>
    </xf>
    <xf numFmtId="171" fontId="3" fillId="3" borderId="2" xfId="0" applyNumberFormat="1" applyFont="1" applyFill="1" applyBorder="1" applyAlignment="1">
      <alignment horizontal="right" vertical="center"/>
    </xf>
    <xf numFmtId="0" fontId="3" fillId="0" borderId="0" xfId="0" applyFont="1" applyAlignment="1">
      <alignment wrapText="1"/>
    </xf>
    <xf numFmtId="3" fontId="3" fillId="3" borderId="5" xfId="0" applyNumberFormat="1" applyFont="1" applyFill="1" applyBorder="1" applyAlignment="1">
      <alignment vertical="center"/>
    </xf>
    <xf numFmtId="3" fontId="17" fillId="3" borderId="17" xfId="0" applyNumberFormat="1" applyFont="1" applyFill="1" applyBorder="1" applyAlignment="1">
      <alignment horizontal="center" vertical="center"/>
    </xf>
    <xf numFmtId="0" fontId="17" fillId="3" borderId="17" xfId="0" applyFont="1" applyFill="1" applyBorder="1" applyAlignment="1">
      <alignment horizontal="center" vertical="center"/>
    </xf>
    <xf numFmtId="0" fontId="3" fillId="3" borderId="17" xfId="0" applyFont="1" applyFill="1" applyBorder="1" applyAlignment="1">
      <alignment vertical="center"/>
    </xf>
    <xf numFmtId="0" fontId="3" fillId="4" borderId="11" xfId="0" applyFont="1" applyFill="1" applyBorder="1" applyAlignment="1">
      <alignment vertical="center"/>
    </xf>
    <xf numFmtId="37" fontId="4" fillId="10" borderId="10" xfId="0" applyNumberFormat="1" applyFont="1" applyFill="1" applyBorder="1" applyAlignment="1">
      <alignment horizontal="left" vertical="center"/>
    </xf>
    <xf numFmtId="37" fontId="4" fillId="10" borderId="15" xfId="0" applyNumberFormat="1" applyFont="1" applyFill="1" applyBorder="1" applyAlignment="1">
      <alignment horizontal="left" vertical="center"/>
    </xf>
    <xf numFmtId="0" fontId="3" fillId="10" borderId="8" xfId="0" applyFont="1" applyFill="1" applyBorder="1" applyAlignment="1">
      <alignment vertical="center"/>
    </xf>
    <xf numFmtId="37" fontId="3" fillId="4" borderId="7" xfId="0" applyNumberFormat="1" applyFont="1" applyFill="1" applyBorder="1" applyAlignment="1">
      <alignment horizontal="left" vertical="center"/>
    </xf>
    <xf numFmtId="0" fontId="3" fillId="4" borderId="4" xfId="0" applyFont="1" applyFill="1" applyBorder="1" applyAlignment="1">
      <alignment vertical="center"/>
    </xf>
    <xf numFmtId="37" fontId="15" fillId="10" borderId="10" xfId="0" applyNumberFormat="1" applyFont="1" applyFill="1" applyBorder="1" applyAlignment="1">
      <alignment horizontal="left" vertical="center"/>
    </xf>
    <xf numFmtId="0" fontId="5" fillId="4" borderId="11" xfId="0" applyFont="1" applyFill="1" applyBorder="1" applyAlignment="1">
      <alignment vertical="center"/>
    </xf>
    <xf numFmtId="0" fontId="3" fillId="10" borderId="16" xfId="0" applyFont="1" applyFill="1" applyBorder="1" applyAlignment="1" applyProtection="1">
      <alignment vertical="center"/>
      <protection locked="0"/>
    </xf>
    <xf numFmtId="0" fontId="3" fillId="10" borderId="13" xfId="0" applyFont="1" applyFill="1" applyBorder="1" applyAlignment="1" applyProtection="1">
      <alignment vertical="center"/>
      <protection locked="0"/>
    </xf>
    <xf numFmtId="0" fontId="3" fillId="10" borderId="15" xfId="0" applyFont="1" applyFill="1" applyBorder="1" applyAlignment="1" applyProtection="1">
      <alignment vertical="center"/>
      <protection locked="0"/>
    </xf>
    <xf numFmtId="0" fontId="3" fillId="10" borderId="8" xfId="0" applyFont="1" applyFill="1" applyBorder="1" applyAlignment="1" applyProtection="1">
      <alignment vertical="center"/>
      <protection locked="0"/>
    </xf>
    <xf numFmtId="0" fontId="3" fillId="10" borderId="7"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37" fontId="4" fillId="10" borderId="7" xfId="0" applyNumberFormat="1" applyFont="1" applyFill="1" applyBorder="1" applyAlignment="1">
      <alignment horizontal="left" vertical="center"/>
    </xf>
    <xf numFmtId="0" fontId="3" fillId="10" borderId="9" xfId="0" applyFont="1" applyFill="1" applyBorder="1" applyAlignment="1">
      <alignment vertical="center"/>
    </xf>
    <xf numFmtId="0" fontId="3" fillId="10" borderId="4" xfId="0" applyFont="1" applyFill="1" applyBorder="1" applyAlignment="1">
      <alignment vertical="center"/>
    </xf>
    <xf numFmtId="0" fontId="3" fillId="5" borderId="7" xfId="0" applyFont="1" applyFill="1" applyBorder="1" applyAlignment="1">
      <alignment vertical="center"/>
    </xf>
    <xf numFmtId="0" fontId="3" fillId="5" borderId="9" xfId="0" applyFont="1" applyFill="1" applyBorder="1" applyAlignment="1">
      <alignment vertical="center"/>
    </xf>
    <xf numFmtId="0" fontId="3" fillId="5" borderId="4" xfId="0" applyFont="1" applyFill="1" applyBorder="1" applyAlignment="1">
      <alignment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center"/>
      <protection locked="0"/>
    </xf>
    <xf numFmtId="37" fontId="3" fillId="4" borderId="3" xfId="0" applyNumberFormat="1" applyFont="1" applyFill="1" applyBorder="1" applyAlignment="1">
      <alignment horizontal="center" vertical="center"/>
    </xf>
    <xf numFmtId="37" fontId="3" fillId="3" borderId="0" xfId="42" applyNumberFormat="1" applyFont="1" applyFill="1" applyAlignment="1">
      <alignment horizontal="left" vertical="center"/>
    </xf>
    <xf numFmtId="37" fontId="4" fillId="3" borderId="0" xfId="33" applyNumberFormat="1" applyFont="1" applyFill="1" applyAlignment="1">
      <alignment horizontal="left" vertical="center"/>
    </xf>
    <xf numFmtId="37" fontId="3" fillId="3" borderId="1" xfId="33" applyNumberFormat="1" applyFont="1" applyFill="1" applyBorder="1" applyAlignment="1">
      <alignment horizontal="left" vertical="center"/>
    </xf>
    <xf numFmtId="0" fontId="4" fillId="10" borderId="10" xfId="33" applyFont="1" applyFill="1" applyBorder="1" applyAlignment="1">
      <alignment vertical="center"/>
    </xf>
    <xf numFmtId="0" fontId="3" fillId="10" borderId="11" xfId="33" applyFont="1" applyFill="1" applyBorder="1" applyAlignment="1">
      <alignment vertical="center"/>
    </xf>
    <xf numFmtId="37" fontId="4" fillId="11" borderId="16" xfId="33" applyNumberFormat="1" applyFont="1" applyFill="1" applyBorder="1" applyAlignment="1">
      <alignment horizontal="left" vertical="center"/>
    </xf>
    <xf numFmtId="0" fontId="3" fillId="11" borderId="13" xfId="33" applyFont="1" applyFill="1" applyBorder="1" applyAlignment="1">
      <alignment vertical="center"/>
    </xf>
    <xf numFmtId="37" fontId="4" fillId="11" borderId="15" xfId="33" applyNumberFormat="1" applyFont="1" applyFill="1" applyBorder="1" applyAlignment="1">
      <alignment horizontal="left" vertical="center"/>
    </xf>
    <xf numFmtId="0" fontId="3" fillId="11" borderId="8" xfId="33" applyFont="1" applyFill="1" applyBorder="1" applyAlignment="1">
      <alignment vertical="center"/>
    </xf>
    <xf numFmtId="0" fontId="3" fillId="2" borderId="2" xfId="33" applyFont="1" applyFill="1" applyBorder="1" applyAlignment="1" applyProtection="1">
      <alignment vertical="center"/>
      <protection locked="0"/>
    </xf>
    <xf numFmtId="3" fontId="3" fillId="6" borderId="2" xfId="33" applyNumberFormat="1" applyFont="1" applyFill="1" applyBorder="1" applyAlignment="1" applyProtection="1">
      <alignment vertical="center"/>
      <protection locked="0"/>
    </xf>
    <xf numFmtId="37" fontId="3" fillId="3" borderId="9" xfId="33" applyNumberFormat="1" applyFont="1" applyFill="1" applyBorder="1" applyAlignment="1">
      <alignment horizontal="left" vertical="center"/>
    </xf>
    <xf numFmtId="0" fontId="3" fillId="13" borderId="0" xfId="0" applyFont="1" applyFill="1"/>
    <xf numFmtId="0" fontId="3" fillId="13" borderId="0" xfId="0" applyFont="1" applyFill="1" applyAlignment="1">
      <alignment horizontal="center"/>
    </xf>
    <xf numFmtId="37" fontId="3" fillId="13" borderId="0" xfId="0" applyNumberFormat="1" applyFont="1" applyFill="1" applyAlignment="1">
      <alignment horizontal="left"/>
    </xf>
    <xf numFmtId="165" fontId="3" fillId="13" borderId="1" xfId="0" applyNumberFormat="1" applyFont="1" applyFill="1" applyBorder="1" applyAlignment="1">
      <alignment horizontal="center"/>
    </xf>
    <xf numFmtId="165" fontId="3" fillId="13" borderId="0" xfId="0" applyNumberFormat="1" applyFont="1" applyFill="1" applyAlignment="1">
      <alignment horizontal="center"/>
    </xf>
    <xf numFmtId="37" fontId="3" fillId="3" borderId="6" xfId="33" applyNumberFormat="1" applyFont="1" applyFill="1" applyBorder="1" applyAlignment="1">
      <alignment horizontal="center" vertical="center"/>
    </xf>
    <xf numFmtId="0" fontId="3" fillId="13" borderId="0" xfId="33" applyFont="1" applyFill="1" applyAlignment="1">
      <alignment vertical="center"/>
    </xf>
    <xf numFmtId="37" fontId="3" fillId="3" borderId="0" xfId="33" applyNumberFormat="1" applyFont="1" applyFill="1" applyAlignment="1">
      <alignment horizontal="left" vertical="center"/>
    </xf>
    <xf numFmtId="0" fontId="3" fillId="13" borderId="0" xfId="0" applyFont="1" applyFill="1" applyAlignment="1">
      <alignment horizontal="center" vertical="center"/>
    </xf>
    <xf numFmtId="165" fontId="3" fillId="13" borderId="0" xfId="0" applyNumberFormat="1" applyFont="1" applyFill="1" applyAlignment="1">
      <alignment horizontal="center" vertical="center"/>
    </xf>
    <xf numFmtId="0" fontId="3" fillId="13" borderId="0" xfId="33" applyFont="1" applyFill="1" applyAlignment="1" applyProtection="1">
      <alignment vertical="center"/>
      <protection locked="0"/>
    </xf>
    <xf numFmtId="0" fontId="3" fillId="13" borderId="17" xfId="0" applyFont="1" applyFill="1" applyBorder="1" applyAlignment="1">
      <alignment vertical="center"/>
    </xf>
    <xf numFmtId="0" fontId="1" fillId="0" borderId="0" xfId="0" applyFont="1"/>
    <xf numFmtId="37" fontId="3" fillId="3" borderId="0" xfId="0" applyNumberFormat="1" applyFont="1" applyFill="1" applyAlignment="1" applyProtection="1">
      <alignment vertical="center"/>
      <protection locked="0"/>
    </xf>
    <xf numFmtId="0" fontId="3" fillId="3" borderId="11" xfId="0" applyFont="1" applyFill="1" applyBorder="1" applyAlignment="1">
      <alignment vertical="center"/>
    </xf>
    <xf numFmtId="37" fontId="3" fillId="3" borderId="16" xfId="0" applyNumberFormat="1" applyFont="1" applyFill="1" applyBorder="1" applyAlignment="1" applyProtection="1">
      <alignment horizontal="left" vertical="center"/>
      <protection locked="0"/>
    </xf>
    <xf numFmtId="37" fontId="3" fillId="3" borderId="15" xfId="0" applyNumberFormat="1" applyFont="1" applyFill="1" applyBorder="1" applyAlignment="1" applyProtection="1">
      <alignment horizontal="left" vertical="center"/>
      <protection locked="0"/>
    </xf>
    <xf numFmtId="0" fontId="3" fillId="3" borderId="1"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17" xfId="0" applyFont="1" applyFill="1" applyBorder="1" applyAlignment="1">
      <alignment horizontal="right" vertical="center"/>
    </xf>
    <xf numFmtId="0" fontId="3" fillId="3" borderId="15" xfId="0" applyFont="1" applyFill="1" applyBorder="1" applyAlignment="1">
      <alignment vertical="center"/>
    </xf>
    <xf numFmtId="37" fontId="3" fillId="3" borderId="16" xfId="0" applyNumberFormat="1" applyFont="1" applyFill="1" applyBorder="1" applyAlignment="1">
      <alignment horizontal="right" vertical="center"/>
    </xf>
    <xf numFmtId="37" fontId="3" fillId="3" borderId="15" xfId="0" applyNumberFormat="1" applyFont="1" applyFill="1" applyBorder="1" applyAlignment="1">
      <alignment horizontal="right" vertical="center"/>
    </xf>
    <xf numFmtId="0" fontId="3" fillId="3" borderId="17"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3"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7" xfId="0" applyFont="1" applyFill="1" applyBorder="1" applyAlignment="1">
      <alignment horizontal="left" vertical="center"/>
    </xf>
    <xf numFmtId="0" fontId="3" fillId="3" borderId="16" xfId="0" applyFont="1" applyFill="1" applyBorder="1" applyAlignment="1">
      <alignment horizontal="left" vertical="center"/>
    </xf>
    <xf numFmtId="0" fontId="3" fillId="3" borderId="1" xfId="0" applyFont="1" applyFill="1" applyBorder="1" applyAlignment="1">
      <alignment horizontal="left" vertical="center"/>
    </xf>
    <xf numFmtId="0" fontId="17" fillId="3" borderId="11" xfId="0" applyFont="1" applyFill="1" applyBorder="1" applyAlignment="1">
      <alignment horizontal="center" vertical="center"/>
    </xf>
    <xf numFmtId="0" fontId="3" fillId="3" borderId="16" xfId="0" applyFont="1" applyFill="1" applyBorder="1" applyAlignment="1">
      <alignment horizontal="right" vertical="center"/>
    </xf>
    <xf numFmtId="0" fontId="17" fillId="3" borderId="13" xfId="0" applyFont="1" applyFill="1" applyBorder="1" applyAlignment="1">
      <alignment horizontal="center" vertical="center"/>
    </xf>
    <xf numFmtId="0" fontId="3" fillId="3" borderId="15" xfId="0" applyFont="1" applyFill="1" applyBorder="1" applyAlignment="1">
      <alignment horizontal="right" vertical="center"/>
    </xf>
    <xf numFmtId="0" fontId="17" fillId="3" borderId="1" xfId="0" applyFont="1" applyFill="1" applyBorder="1" applyAlignment="1">
      <alignment horizontal="center" vertical="center"/>
    </xf>
    <xf numFmtId="3" fontId="3" fillId="3" borderId="17" xfId="0" applyNumberFormat="1" applyFont="1" applyFill="1" applyBorder="1" applyAlignment="1">
      <alignment vertical="center"/>
    </xf>
    <xf numFmtId="3" fontId="3" fillId="3" borderId="1" xfId="0" applyNumberFormat="1" applyFont="1" applyFill="1" applyBorder="1" applyAlignment="1">
      <alignment vertical="center"/>
    </xf>
    <xf numFmtId="37" fontId="4" fillId="3" borderId="10" xfId="0" applyNumberFormat="1" applyFont="1" applyFill="1" applyBorder="1" applyAlignment="1">
      <alignment horizontal="left" vertical="center"/>
    </xf>
    <xf numFmtId="0" fontId="4" fillId="3" borderId="10" xfId="0" applyFont="1" applyFill="1" applyBorder="1" applyAlignment="1">
      <alignment vertical="center"/>
    </xf>
    <xf numFmtId="0" fontId="4" fillId="0" borderId="0" xfId="0" applyFont="1" applyAlignment="1">
      <alignment vertical="center"/>
    </xf>
    <xf numFmtId="0" fontId="4" fillId="3" borderId="10" xfId="0" applyFont="1" applyFill="1" applyBorder="1" applyAlignment="1">
      <alignment horizontal="left" vertical="center"/>
    </xf>
    <xf numFmtId="0" fontId="40" fillId="0" borderId="0" xfId="16" applyFont="1" applyAlignment="1" applyProtection="1"/>
    <xf numFmtId="37" fontId="3" fillId="3" borderId="6" xfId="0" applyNumberFormat="1" applyFont="1" applyFill="1" applyBorder="1" applyAlignment="1" applyProtection="1">
      <alignment vertical="center"/>
      <protection locked="0"/>
    </xf>
    <xf numFmtId="172" fontId="3" fillId="6" borderId="2" xfId="0" applyNumberFormat="1" applyFont="1" applyFill="1" applyBorder="1" applyAlignment="1" applyProtection="1">
      <alignment vertical="center"/>
      <protection locked="0"/>
    </xf>
    <xf numFmtId="37" fontId="4" fillId="3" borderId="0" xfId="0" applyNumberFormat="1" applyFont="1" applyFill="1" applyAlignment="1">
      <alignment horizontal="left" vertical="center"/>
    </xf>
    <xf numFmtId="164" fontId="3" fillId="3" borderId="0" xfId="0" applyNumberFormat="1" applyFont="1" applyFill="1"/>
    <xf numFmtId="37" fontId="23" fillId="3" borderId="0" xfId="0" applyNumberFormat="1" applyFont="1" applyFill="1" applyAlignment="1">
      <alignment horizontal="left" vertical="center"/>
    </xf>
    <xf numFmtId="170" fontId="23" fillId="2" borderId="2" xfId="0" applyNumberFormat="1" applyFont="1" applyFill="1" applyBorder="1" applyProtection="1">
      <protection locked="0"/>
    </xf>
    <xf numFmtId="37" fontId="3" fillId="3" borderId="7" xfId="0" applyNumberFormat="1" applyFont="1" applyFill="1" applyBorder="1" applyAlignment="1">
      <alignment horizontal="center" vertical="center"/>
    </xf>
    <xf numFmtId="37" fontId="3" fillId="3" borderId="4" xfId="0" applyNumberFormat="1" applyFont="1" applyFill="1" applyBorder="1" applyAlignment="1">
      <alignment horizontal="center" vertical="center"/>
    </xf>
    <xf numFmtId="0" fontId="15" fillId="0" borderId="0" xfId="0" applyFont="1" applyAlignment="1">
      <alignment horizontal="center"/>
    </xf>
    <xf numFmtId="0" fontId="4" fillId="0" borderId="0" xfId="0" applyFont="1"/>
    <xf numFmtId="0" fontId="3" fillId="0" borderId="0" xfId="0" quotePrefix="1" applyFont="1"/>
    <xf numFmtId="0" fontId="3" fillId="0" borderId="0" xfId="215" applyFont="1"/>
    <xf numFmtId="0" fontId="5" fillId="0" borderId="0" xfId="0" applyFont="1" applyAlignment="1">
      <alignment vertical="center" wrapText="1"/>
    </xf>
    <xf numFmtId="0" fontId="3" fillId="0" borderId="1" xfId="0" applyFont="1" applyBorder="1"/>
    <xf numFmtId="0" fontId="3" fillId="0" borderId="0" xfId="0" applyFont="1" applyAlignment="1">
      <alignment horizontal="left" wrapText="1"/>
    </xf>
    <xf numFmtId="171" fontId="3" fillId="3" borderId="2" xfId="0" applyNumberFormat="1" applyFont="1" applyFill="1" applyBorder="1" applyAlignment="1">
      <alignment horizontal="centerContinuous" vertical="center"/>
    </xf>
    <xf numFmtId="171" fontId="3" fillId="3" borderId="2" xfId="0" applyNumberFormat="1" applyFont="1" applyFill="1" applyBorder="1" applyAlignment="1">
      <alignment horizontal="center" vertical="center"/>
    </xf>
    <xf numFmtId="49" fontId="3" fillId="3" borderId="0" xfId="0" applyNumberFormat="1" applyFont="1" applyFill="1" applyAlignment="1" applyProtection="1">
      <alignment horizontal="left" vertical="center"/>
      <protection locked="0"/>
    </xf>
    <xf numFmtId="0" fontId="9" fillId="0" borderId="0" xfId="485"/>
    <xf numFmtId="0" fontId="3" fillId="0" borderId="0" xfId="485" applyFont="1"/>
    <xf numFmtId="0" fontId="3" fillId="0" borderId="0" xfId="485" applyFont="1" applyAlignment="1">
      <alignment horizontal="right"/>
    </xf>
    <xf numFmtId="49" fontId="3" fillId="0" borderId="0" xfId="485" applyNumberFormat="1" applyFont="1" applyAlignment="1" applyProtection="1">
      <alignment horizontal="left" vertical="center"/>
      <protection locked="0"/>
    </xf>
    <xf numFmtId="0" fontId="9" fillId="0" borderId="0" xfId="485" applyAlignment="1">
      <alignment horizontal="left"/>
    </xf>
    <xf numFmtId="0" fontId="9" fillId="0" borderId="0" xfId="485" applyAlignment="1">
      <alignment horizontal="right"/>
    </xf>
    <xf numFmtId="0" fontId="3" fillId="0" borderId="0" xfId="485" applyFont="1" applyAlignment="1">
      <alignment horizontal="right" vertical="center"/>
    </xf>
    <xf numFmtId="0" fontId="23" fillId="0" borderId="0" xfId="485" applyFont="1" applyAlignment="1">
      <alignment horizontal="left" vertical="center"/>
    </xf>
    <xf numFmtId="0" fontId="31" fillId="0" borderId="0" xfId="0" applyFont="1" applyAlignment="1">
      <alignment horizontal="center" vertical="center" wrapText="1"/>
    </xf>
    <xf numFmtId="0" fontId="39" fillId="0" borderId="0" xfId="0" applyFont="1" applyAlignment="1">
      <alignment horizontal="center" vertical="center" wrapText="1"/>
    </xf>
    <xf numFmtId="0" fontId="43" fillId="0" borderId="0" xfId="0" applyFont="1" applyAlignment="1">
      <alignment vertical="center" wrapText="1"/>
    </xf>
    <xf numFmtId="0" fontId="48"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indent="2"/>
    </xf>
    <xf numFmtId="0" fontId="3" fillId="0" borderId="0" xfId="0" applyFont="1" applyAlignment="1">
      <alignment horizontal="left" vertical="center" wrapText="1"/>
    </xf>
    <xf numFmtId="0" fontId="3" fillId="0" borderId="0" xfId="0" applyFont="1" applyAlignment="1">
      <alignment horizontal="left" vertical="center" indent="2"/>
    </xf>
    <xf numFmtId="0" fontId="49" fillId="0" borderId="0" xfId="0" applyFont="1" applyAlignment="1">
      <alignment horizontal="left" vertical="center" wrapText="1" indent="4"/>
    </xf>
    <xf numFmtId="0" fontId="15" fillId="0" borderId="0" xfId="0" applyFont="1" applyAlignment="1">
      <alignment vertical="center" wrapText="1"/>
    </xf>
    <xf numFmtId="3" fontId="4" fillId="3" borderId="2" xfId="0" applyNumberFormat="1" applyFont="1" applyFill="1" applyBorder="1" applyAlignment="1">
      <alignment vertical="center"/>
    </xf>
    <xf numFmtId="37" fontId="4" fillId="3" borderId="18" xfId="0" applyNumberFormat="1" applyFont="1" applyFill="1" applyBorder="1" applyAlignment="1">
      <alignment horizontal="center" vertical="center"/>
    </xf>
    <xf numFmtId="37" fontId="4" fillId="3" borderId="19" xfId="0" applyNumberFormat="1" applyFont="1" applyFill="1" applyBorder="1" applyAlignment="1">
      <alignment horizontal="center" vertical="center"/>
    </xf>
    <xf numFmtId="37" fontId="4" fillId="3" borderId="12" xfId="0" applyNumberFormat="1" applyFont="1" applyFill="1" applyBorder="1" applyAlignment="1">
      <alignment horizontal="center" vertical="center"/>
    </xf>
    <xf numFmtId="37" fontId="3" fillId="3" borderId="12" xfId="0" applyNumberFormat="1" applyFont="1" applyFill="1" applyBorder="1" applyAlignment="1">
      <alignment horizontal="center" vertical="center"/>
    </xf>
    <xf numFmtId="170" fontId="3" fillId="3" borderId="4" xfId="0" applyNumberFormat="1" applyFont="1" applyFill="1" applyBorder="1" applyAlignment="1">
      <alignment horizontal="center" vertical="center"/>
    </xf>
    <xf numFmtId="170" fontId="3" fillId="7" borderId="19" xfId="0" applyNumberFormat="1" applyFont="1" applyFill="1" applyBorder="1" applyAlignment="1">
      <alignment horizontal="center" vertical="center"/>
    </xf>
    <xf numFmtId="0" fontId="3" fillId="0" borderId="13" xfId="0" applyFont="1" applyBorder="1"/>
    <xf numFmtId="37" fontId="3" fillId="3" borderId="18" xfId="0" applyNumberFormat="1" applyFont="1" applyFill="1" applyBorder="1" applyAlignment="1">
      <alignment horizontal="left" vertical="center"/>
    </xf>
    <xf numFmtId="0" fontId="3" fillId="3" borderId="19" xfId="0" applyFont="1" applyFill="1" applyBorder="1" applyAlignment="1">
      <alignment vertical="center"/>
    </xf>
    <xf numFmtId="37" fontId="3" fillId="3" borderId="12" xfId="0" applyNumberFormat="1" applyFont="1" applyFill="1" applyBorder="1" applyAlignment="1">
      <alignment horizontal="fill" vertical="center"/>
    </xf>
    <xf numFmtId="1" fontId="3" fillId="3" borderId="12" xfId="0" applyNumberFormat="1" applyFont="1" applyFill="1" applyBorder="1" applyAlignment="1">
      <alignment vertical="center"/>
    </xf>
    <xf numFmtId="171" fontId="3" fillId="3" borderId="12" xfId="0" applyNumberFormat="1" applyFont="1" applyFill="1" applyBorder="1" applyAlignment="1">
      <alignment vertical="center"/>
    </xf>
    <xf numFmtId="37" fontId="4" fillId="3" borderId="18" xfId="0" applyNumberFormat="1" applyFont="1" applyFill="1" applyBorder="1" applyAlignment="1">
      <alignment horizontal="left" vertical="center"/>
    </xf>
    <xf numFmtId="37" fontId="3" fillId="3" borderId="19" xfId="0" applyNumberFormat="1" applyFont="1" applyFill="1" applyBorder="1" applyAlignment="1">
      <alignment horizontal="fill" vertical="center"/>
    </xf>
    <xf numFmtId="37" fontId="3" fillId="3" borderId="3" xfId="0" applyNumberFormat="1" applyFont="1" applyFill="1" applyBorder="1" applyAlignment="1">
      <alignment horizontal="center" vertical="center"/>
    </xf>
    <xf numFmtId="37" fontId="3" fillId="3" borderId="4" xfId="0" applyNumberFormat="1" applyFont="1" applyFill="1" applyBorder="1" applyAlignment="1">
      <alignment horizontal="left" vertical="center"/>
    </xf>
    <xf numFmtId="3" fontId="4" fillId="3" borderId="0" xfId="0" applyNumberFormat="1" applyFont="1" applyFill="1" applyAlignment="1">
      <alignment horizontal="center" vertical="center"/>
    </xf>
    <xf numFmtId="0" fontId="16" fillId="13" borderId="0" xfId="0" applyFont="1" applyFill="1" applyAlignment="1">
      <alignment horizontal="center" vertical="center"/>
    </xf>
    <xf numFmtId="0" fontId="4" fillId="15" borderId="0" xfId="0" applyFont="1" applyFill="1" applyAlignment="1">
      <alignment vertical="center"/>
    </xf>
    <xf numFmtId="37" fontId="4" fillId="3" borderId="0" xfId="0" applyNumberFormat="1" applyFont="1" applyFill="1" applyAlignment="1">
      <alignment horizontal="center" vertical="center"/>
    </xf>
    <xf numFmtId="171" fontId="3" fillId="13" borderId="2" xfId="0" applyNumberFormat="1" applyFont="1" applyFill="1" applyBorder="1" applyAlignment="1">
      <alignment horizontal="center" vertical="center"/>
    </xf>
    <xf numFmtId="37" fontId="3" fillId="13" borderId="0" xfId="0" applyNumberFormat="1" applyFont="1" applyFill="1" applyAlignment="1">
      <alignment horizontal="left" vertical="center"/>
    </xf>
    <xf numFmtId="37" fontId="3" fillId="13" borderId="0" xfId="0" applyNumberFormat="1" applyFont="1" applyFill="1" applyAlignment="1">
      <alignment vertical="center"/>
    </xf>
    <xf numFmtId="0" fontId="3" fillId="2" borderId="1"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37" fontId="3" fillId="3" borderId="0" xfId="0" applyNumberFormat="1" applyFont="1" applyFill="1" applyAlignment="1" applyProtection="1">
      <alignment horizontal="fill" vertical="center"/>
      <protection locked="0"/>
    </xf>
    <xf numFmtId="37" fontId="3" fillId="3" borderId="17" xfId="0" applyNumberFormat="1" applyFont="1" applyFill="1" applyBorder="1" applyAlignment="1">
      <alignment horizontal="center" vertical="center"/>
    </xf>
    <xf numFmtId="0" fontId="3" fillId="3" borderId="10" xfId="0" applyFont="1" applyFill="1" applyBorder="1" applyAlignment="1">
      <alignment vertical="center"/>
    </xf>
    <xf numFmtId="37" fontId="3" fillId="3" borderId="8" xfId="0" applyNumberFormat="1" applyFont="1" applyFill="1" applyBorder="1" applyAlignment="1">
      <alignment horizontal="center" vertical="center"/>
    </xf>
    <xf numFmtId="0" fontId="3" fillId="3" borderId="3" xfId="0" applyFont="1" applyFill="1" applyBorder="1" applyAlignment="1">
      <alignment vertical="center"/>
    </xf>
    <xf numFmtId="37" fontId="15" fillId="3" borderId="6" xfId="0" applyNumberFormat="1" applyFont="1" applyFill="1" applyBorder="1" applyAlignment="1">
      <alignment horizontal="left" vertical="center"/>
    </xf>
    <xf numFmtId="37" fontId="15" fillId="3" borderId="6" xfId="0" applyNumberFormat="1" applyFont="1" applyFill="1" applyBorder="1" applyAlignment="1">
      <alignment horizontal="center" vertical="center"/>
    </xf>
    <xf numFmtId="0" fontId="3" fillId="3" borderId="6" xfId="0" applyFont="1" applyFill="1" applyBorder="1" applyAlignment="1">
      <alignment vertical="center"/>
    </xf>
    <xf numFmtId="37" fontId="3" fillId="3" borderId="2" xfId="0" applyNumberFormat="1" applyFont="1" applyFill="1" applyBorder="1" applyAlignment="1">
      <alignment horizontal="right" vertical="center"/>
    </xf>
    <xf numFmtId="174" fontId="3" fillId="3" borderId="2" xfId="0" applyNumberFormat="1" applyFont="1" applyFill="1" applyBorder="1" applyAlignment="1">
      <alignment horizontal="right" vertical="center"/>
    </xf>
    <xf numFmtId="0" fontId="3" fillId="3" borderId="2" xfId="0" applyFont="1" applyFill="1" applyBorder="1" applyAlignment="1">
      <alignment horizontal="right" vertical="center"/>
    </xf>
    <xf numFmtId="0" fontId="3" fillId="3" borderId="5" xfId="0" applyFont="1" applyFill="1" applyBorder="1" applyAlignment="1">
      <alignment horizontal="right" vertical="center"/>
    </xf>
    <xf numFmtId="0" fontId="0" fillId="13" borderId="0" xfId="0" applyFill="1" applyAlignment="1">
      <alignment vertical="center"/>
    </xf>
    <xf numFmtId="37" fontId="11" fillId="3" borderId="5" xfId="0" applyNumberFormat="1" applyFont="1" applyFill="1" applyBorder="1" applyAlignment="1">
      <alignment vertical="center"/>
    </xf>
    <xf numFmtId="37" fontId="3" fillId="3" borderId="5" xfId="0" applyNumberFormat="1" applyFont="1" applyFill="1" applyBorder="1" applyAlignment="1">
      <alignment vertical="center"/>
    </xf>
    <xf numFmtId="0" fontId="3" fillId="3" borderId="5" xfId="0" applyFont="1" applyFill="1" applyBorder="1" applyAlignment="1" applyProtection="1">
      <alignment vertical="center"/>
      <protection locked="0"/>
    </xf>
    <xf numFmtId="164" fontId="23" fillId="3" borderId="6" xfId="0" applyNumberFormat="1" applyFont="1" applyFill="1" applyBorder="1" applyAlignment="1">
      <alignment vertical="center"/>
    </xf>
    <xf numFmtId="37" fontId="3" fillId="3" borderId="12" xfId="0" applyNumberFormat="1" applyFont="1" applyFill="1" applyBorder="1" applyAlignment="1">
      <alignment horizontal="left" vertical="center"/>
    </xf>
    <xf numFmtId="164" fontId="3" fillId="3" borderId="12" xfId="0" applyNumberFormat="1" applyFont="1" applyFill="1" applyBorder="1" applyAlignment="1">
      <alignment vertical="center"/>
    </xf>
    <xf numFmtId="3" fontId="3" fillId="3" borderId="12" xfId="33" applyNumberFormat="1" applyFont="1" applyFill="1" applyBorder="1" applyAlignment="1">
      <alignment vertical="center"/>
    </xf>
    <xf numFmtId="3" fontId="4" fillId="3" borderId="7" xfId="0" applyNumberFormat="1" applyFont="1" applyFill="1" applyBorder="1" applyAlignment="1">
      <alignment vertical="center"/>
    </xf>
    <xf numFmtId="172" fontId="11" fillId="14" borderId="15" xfId="0" applyNumberFormat="1" applyFont="1" applyFill="1" applyBorder="1" applyAlignment="1">
      <alignment horizontal="center" vertical="center"/>
    </xf>
    <xf numFmtId="0" fontId="20" fillId="13" borderId="0" xfId="0" applyFont="1" applyFill="1" applyAlignment="1">
      <alignment horizontal="center" vertical="center"/>
    </xf>
    <xf numFmtId="0" fontId="0" fillId="13" borderId="13" xfId="0" applyFill="1" applyBorder="1" applyAlignment="1">
      <alignment vertical="center"/>
    </xf>
    <xf numFmtId="172" fontId="11" fillId="13" borderId="15" xfId="0" applyNumberFormat="1" applyFont="1" applyFill="1" applyBorder="1" applyAlignment="1">
      <alignment horizontal="center" vertical="center"/>
    </xf>
    <xf numFmtId="172" fontId="12" fillId="13" borderId="15" xfId="0" applyNumberFormat="1" applyFont="1" applyFill="1" applyBorder="1" applyAlignment="1">
      <alignment horizontal="center" vertical="center"/>
    </xf>
    <xf numFmtId="0" fontId="12" fillId="13" borderId="0" xfId="0" applyFont="1" applyFill="1" applyAlignment="1">
      <alignment horizontal="left" vertical="center"/>
    </xf>
    <xf numFmtId="172" fontId="11" fillId="13" borderId="7" xfId="0" applyNumberFormat="1" applyFont="1" applyFill="1" applyBorder="1" applyAlignment="1">
      <alignment horizontal="center" vertical="center"/>
    </xf>
    <xf numFmtId="3" fontId="4" fillId="3" borderId="2" xfId="1" applyNumberFormat="1" applyFont="1" applyFill="1" applyBorder="1" applyAlignment="1" applyProtection="1">
      <alignment horizontal="right" vertical="center"/>
    </xf>
    <xf numFmtId="37" fontId="4" fillId="3" borderId="2" xfId="0" applyNumberFormat="1" applyFont="1" applyFill="1" applyBorder="1" applyAlignment="1">
      <alignment vertical="center"/>
    </xf>
    <xf numFmtId="37" fontId="3" fillId="0" borderId="0" xfId="0" applyNumberFormat="1" applyFont="1" applyAlignment="1" applyProtection="1">
      <alignment horizontal="fill"/>
      <protection locked="0"/>
    </xf>
    <xf numFmtId="0" fontId="3" fillId="0" borderId="0" xfId="0" applyFont="1" applyAlignment="1" applyProtection="1">
      <alignment horizontal="centerContinuous"/>
      <protection locked="0"/>
    </xf>
    <xf numFmtId="0" fontId="53" fillId="0" borderId="0" xfId="521" applyFont="1"/>
    <xf numFmtId="0" fontId="53" fillId="0" borderId="0" xfId="521" applyFont="1" applyAlignment="1">
      <alignment horizontal="left" wrapText="1"/>
    </xf>
    <xf numFmtId="0" fontId="53" fillId="0" borderId="0" xfId="521" applyFont="1" applyAlignment="1">
      <alignment horizontal="center" wrapText="1"/>
    </xf>
    <xf numFmtId="0" fontId="53" fillId="0" borderId="0" xfId="521" applyFont="1" applyAlignment="1">
      <alignment horizontal="center"/>
    </xf>
    <xf numFmtId="0" fontId="54" fillId="17" borderId="2" xfId="521" applyFont="1" applyFill="1" applyBorder="1" applyAlignment="1">
      <alignment horizontal="center" vertical="center"/>
    </xf>
    <xf numFmtId="0" fontId="53" fillId="0" borderId="2" xfId="521" applyFont="1" applyBorder="1" applyAlignment="1">
      <alignment horizontal="center"/>
    </xf>
    <xf numFmtId="0" fontId="53" fillId="0" borderId="12" xfId="521" applyFont="1" applyBorder="1" applyAlignment="1">
      <alignment horizontal="center"/>
    </xf>
    <xf numFmtId="0" fontId="55" fillId="0" borderId="6" xfId="521" applyFont="1" applyBorder="1" applyAlignment="1">
      <alignment horizontal="center" vertical="center"/>
    </xf>
    <xf numFmtId="0" fontId="53" fillId="0" borderId="0" xfId="521" applyFont="1" applyAlignment="1">
      <alignment horizontal="right" wrapText="1"/>
    </xf>
    <xf numFmtId="0" fontId="53" fillId="0" borderId="0" xfId="521" applyFont="1" applyAlignment="1">
      <alignment wrapText="1"/>
    </xf>
    <xf numFmtId="0" fontId="58" fillId="0" borderId="0" xfId="0" applyFont="1"/>
    <xf numFmtId="0" fontId="59" fillId="0" borderId="0" xfId="0" applyFont="1"/>
    <xf numFmtId="0" fontId="60" fillId="0" borderId="0" xfId="0" applyFont="1" applyAlignment="1">
      <alignment horizontal="left" vertical="center" readingOrder="1"/>
    </xf>
    <xf numFmtId="0" fontId="61" fillId="0" borderId="0" xfId="0" applyFont="1" applyAlignment="1">
      <alignment horizontal="left" vertical="center" indent="2" readingOrder="1"/>
    </xf>
    <xf numFmtId="0" fontId="61" fillId="0" borderId="1" xfId="0" applyFont="1" applyBorder="1" applyAlignment="1">
      <alignment horizontal="center" vertical="center" readingOrder="1"/>
    </xf>
    <xf numFmtId="0" fontId="62" fillId="0" borderId="0" xfId="0" applyFont="1" applyAlignment="1">
      <alignment horizontal="left" vertical="center" readingOrder="1"/>
    </xf>
    <xf numFmtId="0" fontId="0" fillId="18" borderId="0" xfId="0" applyFill="1"/>
    <xf numFmtId="0" fontId="60" fillId="18" borderId="0" xfId="0" applyFont="1" applyFill="1" applyAlignment="1">
      <alignment horizontal="left" vertical="center" readingOrder="1"/>
    </xf>
    <xf numFmtId="0" fontId="64" fillId="0" borderId="0" xfId="0" applyFont="1" applyAlignment="1">
      <alignment wrapText="1"/>
    </xf>
    <xf numFmtId="0" fontId="65" fillId="0" borderId="0" xfId="0" applyFont="1" applyAlignment="1">
      <alignment horizontal="left"/>
    </xf>
    <xf numFmtId="0" fontId="53" fillId="0" borderId="0" xfId="0" applyFont="1"/>
    <xf numFmtId="0" fontId="5" fillId="0" borderId="0" xfId="33" applyFont="1" applyAlignment="1">
      <alignment wrapText="1"/>
    </xf>
    <xf numFmtId="0" fontId="3" fillId="0" borderId="0" xfId="33" applyFont="1" applyAlignment="1">
      <alignment vertical="center" wrapText="1"/>
    </xf>
    <xf numFmtId="0" fontId="5" fillId="0" borderId="0" xfId="0" applyFont="1" applyAlignment="1">
      <alignment wrapText="1"/>
    </xf>
    <xf numFmtId="0" fontId="5" fillId="0" borderId="0" xfId="104" applyFont="1" applyAlignment="1">
      <alignment vertical="center" wrapText="1"/>
    </xf>
    <xf numFmtId="0" fontId="3" fillId="0" borderId="0" xfId="104" applyFont="1" applyAlignment="1">
      <alignment vertical="center" wrapText="1"/>
    </xf>
    <xf numFmtId="0" fontId="3" fillId="0" borderId="0" xfId="134" applyFont="1" applyAlignment="1">
      <alignment vertical="center" wrapText="1"/>
    </xf>
    <xf numFmtId="0" fontId="3" fillId="0" borderId="0" xfId="109" applyFont="1" applyAlignment="1">
      <alignment vertical="center" wrapText="1"/>
    </xf>
    <xf numFmtId="0" fontId="3" fillId="0" borderId="0" xfId="479" applyFont="1" applyAlignment="1">
      <alignment vertical="center" wrapText="1"/>
    </xf>
    <xf numFmtId="0" fontId="3" fillId="0" borderId="0" xfId="0" applyFont="1" applyAlignment="1">
      <alignment vertical="top" wrapText="1"/>
    </xf>
    <xf numFmtId="0" fontId="3" fillId="4" borderId="2" xfId="0" applyFont="1" applyFill="1" applyBorder="1" applyAlignment="1">
      <alignment horizontal="center" vertical="center" shrinkToFit="1"/>
    </xf>
    <xf numFmtId="0" fontId="11" fillId="0" borderId="0" xfId="0" applyFont="1" applyAlignment="1">
      <alignment horizontal="left" vertical="center"/>
    </xf>
    <xf numFmtId="170" fontId="3" fillId="3" borderId="0" xfId="0" applyNumberFormat="1" applyFont="1" applyFill="1" applyAlignment="1">
      <alignment vertical="center"/>
    </xf>
    <xf numFmtId="0" fontId="66" fillId="2" borderId="9" xfId="522" applyFill="1" applyBorder="1" applyAlignment="1" applyProtection="1">
      <alignment vertical="center"/>
      <protection locked="0"/>
    </xf>
    <xf numFmtId="37" fontId="3" fillId="4" borderId="5" xfId="0" applyNumberFormat="1" applyFont="1" applyFill="1" applyBorder="1" applyAlignment="1">
      <alignment horizontal="center" vertical="center" wrapText="1"/>
    </xf>
    <xf numFmtId="0" fontId="0" fillId="4" borderId="6" xfId="0" applyFill="1" applyBorder="1" applyAlignment="1">
      <alignment horizontal="center" vertical="center" wrapText="1"/>
    </xf>
    <xf numFmtId="37" fontId="17" fillId="3" borderId="0" xfId="0" applyNumberFormat="1" applyFont="1" applyFill="1" applyAlignment="1">
      <alignment horizontal="center" vertical="center"/>
    </xf>
    <xf numFmtId="0" fontId="18" fillId="0" borderId="0" xfId="0" applyFont="1" applyAlignment="1">
      <alignment horizontal="center" vertical="center"/>
    </xf>
    <xf numFmtId="37" fontId="4" fillId="15" borderId="0" xfId="0" applyNumberFormat="1" applyFont="1" applyFill="1" applyAlignment="1">
      <alignment horizontal="center" vertical="center"/>
    </xf>
    <xf numFmtId="0" fontId="1" fillId="0" borderId="0" xfId="0" applyFont="1" applyAlignment="1">
      <alignment horizontal="center" vertical="center"/>
    </xf>
    <xf numFmtId="37" fontId="4" fillId="3" borderId="0" xfId="33" applyNumberFormat="1" applyFont="1" applyFill="1" applyAlignment="1">
      <alignment vertical="center" wrapText="1"/>
    </xf>
    <xf numFmtId="0" fontId="3" fillId="3" borderId="10" xfId="33" applyFont="1" applyFill="1" applyBorder="1" applyAlignment="1">
      <alignment vertical="center" wrapText="1"/>
    </xf>
    <xf numFmtId="0" fontId="2" fillId="0" borderId="11" xfId="33" applyBorder="1" applyAlignment="1">
      <alignment vertical="center" wrapText="1"/>
    </xf>
    <xf numFmtId="0" fontId="2" fillId="0" borderId="16" xfId="33" applyBorder="1" applyAlignment="1">
      <alignment vertical="center" wrapText="1"/>
    </xf>
    <xf numFmtId="0" fontId="2" fillId="0" borderId="13" xfId="33" applyBorder="1" applyAlignment="1">
      <alignment vertical="center" wrapText="1"/>
    </xf>
    <xf numFmtId="0" fontId="2" fillId="0" borderId="15" xfId="33" applyBorder="1" applyAlignment="1">
      <alignment vertical="center" wrapText="1"/>
    </xf>
    <xf numFmtId="0" fontId="2" fillId="0" borderId="8" xfId="33" applyBorder="1" applyAlignment="1">
      <alignment vertical="center" wrapText="1"/>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4" borderId="7" xfId="0" applyFont="1" applyFill="1" applyBorder="1" applyAlignment="1">
      <alignment horizontal="center" vertical="center"/>
    </xf>
    <xf numFmtId="0" fontId="1" fillId="4" borderId="4" xfId="0" applyFont="1" applyFill="1" applyBorder="1" applyAlignment="1">
      <alignment horizontal="center" vertical="center"/>
    </xf>
    <xf numFmtId="0" fontId="3" fillId="4"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6" fillId="3" borderId="0" xfId="0" applyFont="1" applyFill="1" applyAlignment="1">
      <alignment vertical="center"/>
    </xf>
    <xf numFmtId="0" fontId="22" fillId="0" borderId="0" xfId="0" applyFont="1" applyAlignment="1">
      <alignment vertical="center"/>
    </xf>
    <xf numFmtId="0" fontId="45" fillId="16" borderId="0" xfId="485" applyFont="1" applyFill="1" applyAlignment="1">
      <alignment horizontal="center" vertical="center"/>
    </xf>
    <xf numFmtId="0" fontId="46" fillId="16" borderId="0" xfId="485" applyFont="1" applyFill="1" applyAlignment="1">
      <alignment horizontal="center" vertical="center" wrapText="1"/>
    </xf>
    <xf numFmtId="0" fontId="3" fillId="0" borderId="0" xfId="485" applyFont="1" applyAlignment="1">
      <alignment horizontal="center" vertical="center" wrapText="1"/>
    </xf>
    <xf numFmtId="49" fontId="3" fillId="2" borderId="7" xfId="485" applyNumberFormat="1" applyFont="1" applyFill="1" applyBorder="1" applyAlignment="1" applyProtection="1">
      <alignment horizontal="left" vertical="center"/>
      <protection locked="0"/>
    </xf>
    <xf numFmtId="49" fontId="3" fillId="2" borderId="9" xfId="485" applyNumberFormat="1" applyFont="1" applyFill="1" applyBorder="1" applyAlignment="1" applyProtection="1">
      <alignment horizontal="left" vertical="center"/>
      <protection locked="0"/>
    </xf>
    <xf numFmtId="49" fontId="3" fillId="2" borderId="4" xfId="485" applyNumberFormat="1" applyFont="1" applyFill="1" applyBorder="1" applyAlignment="1" applyProtection="1">
      <alignment horizontal="left" vertical="center"/>
      <protection locked="0"/>
    </xf>
    <xf numFmtId="0" fontId="23" fillId="0" borderId="0" xfId="485" applyFont="1" applyAlignment="1">
      <alignment horizontal="center" vertical="top" wrapText="1"/>
    </xf>
    <xf numFmtId="0" fontId="3" fillId="2" borderId="7" xfId="485" applyFont="1" applyFill="1" applyBorder="1" applyAlignment="1" applyProtection="1">
      <alignment horizontal="left" vertical="center"/>
      <protection locked="0"/>
    </xf>
    <xf numFmtId="0" fontId="3" fillId="2" borderId="9" xfId="485" applyFont="1" applyFill="1" applyBorder="1" applyAlignment="1" applyProtection="1">
      <alignment horizontal="left" vertical="center"/>
      <protection locked="0"/>
    </xf>
    <xf numFmtId="0" fontId="3" fillId="2" borderId="4" xfId="485" applyFont="1" applyFill="1" applyBorder="1" applyAlignment="1" applyProtection="1">
      <alignment horizontal="left" vertical="center"/>
      <protection locked="0"/>
    </xf>
    <xf numFmtId="0" fontId="4" fillId="3" borderId="0" xfId="0" applyFont="1" applyFill="1" applyAlignment="1">
      <alignment horizontal="left" vertical="top" wrapText="1"/>
    </xf>
    <xf numFmtId="37" fontId="3" fillId="3" borderId="7" xfId="0" applyNumberFormat="1" applyFont="1" applyFill="1" applyBorder="1" applyAlignment="1">
      <alignment horizontal="left" vertical="center"/>
    </xf>
    <xf numFmtId="37" fontId="3" fillId="3" borderId="4" xfId="0" applyNumberFormat="1" applyFont="1" applyFill="1" applyBorder="1" applyAlignment="1">
      <alignment horizontal="left" vertical="center"/>
    </xf>
    <xf numFmtId="0" fontId="3" fillId="3" borderId="0" xfId="0" applyFont="1" applyFill="1" applyAlignment="1">
      <alignment horizontal="center" vertical="center"/>
    </xf>
    <xf numFmtId="37" fontId="3" fillId="3" borderId="2" xfId="0" applyNumberFormat="1" applyFont="1" applyFill="1" applyBorder="1" applyAlignment="1">
      <alignment horizontal="left" vertical="center"/>
    </xf>
    <xf numFmtId="37" fontId="3" fillId="3" borderId="10" xfId="0" applyNumberFormat="1" applyFont="1" applyFill="1" applyBorder="1" applyAlignment="1">
      <alignment horizontal="left" vertical="center"/>
    </xf>
    <xf numFmtId="37" fontId="3" fillId="3" borderId="11" xfId="0" applyNumberFormat="1" applyFont="1" applyFill="1" applyBorder="1" applyAlignment="1">
      <alignment horizontal="left" vertical="center"/>
    </xf>
    <xf numFmtId="0" fontId="3" fillId="2" borderId="2" xfId="0" applyFont="1" applyFill="1" applyBorder="1" applyAlignment="1" applyProtection="1">
      <alignment horizontal="center" vertical="center"/>
      <protection locked="0"/>
    </xf>
    <xf numFmtId="37" fontId="3" fillId="3" borderId="7" xfId="0" applyNumberFormat="1" applyFont="1" applyFill="1" applyBorder="1" applyAlignment="1">
      <alignment horizontal="center" vertical="center"/>
    </xf>
    <xf numFmtId="37" fontId="3" fillId="3" borderId="9" xfId="0" applyNumberFormat="1" applyFont="1" applyFill="1" applyBorder="1" applyAlignment="1">
      <alignment horizontal="center" vertical="center"/>
    </xf>
    <xf numFmtId="37" fontId="3" fillId="3" borderId="4" xfId="0" applyNumberFormat="1" applyFont="1" applyFill="1" applyBorder="1" applyAlignment="1">
      <alignment horizontal="center" vertical="center"/>
    </xf>
    <xf numFmtId="37" fontId="3" fillId="3" borderId="5" xfId="62" applyNumberFormat="1" applyFont="1" applyFill="1" applyBorder="1" applyAlignment="1">
      <alignment horizontal="center" vertical="center" wrapText="1"/>
    </xf>
    <xf numFmtId="37" fontId="3" fillId="3" borderId="6" xfId="62" applyNumberFormat="1" applyFont="1" applyFill="1" applyBorder="1" applyAlignment="1">
      <alignment horizontal="center" vertical="center" wrapText="1"/>
    </xf>
    <xf numFmtId="37" fontId="3" fillId="3" borderId="5" xfId="0" applyNumberFormat="1" applyFont="1" applyFill="1" applyBorder="1" applyAlignment="1">
      <alignment horizontal="center" vertical="center" wrapText="1"/>
    </xf>
    <xf numFmtId="37" fontId="3" fillId="3" borderId="6" xfId="0" applyNumberFormat="1" applyFont="1" applyFill="1" applyBorder="1" applyAlignment="1">
      <alignment horizontal="center" vertical="center" wrapText="1"/>
    </xf>
    <xf numFmtId="37" fontId="4" fillId="3" borderId="0" xfId="0" applyNumberFormat="1" applyFont="1" applyFill="1" applyAlignment="1">
      <alignment horizontal="center" vertical="center"/>
    </xf>
    <xf numFmtId="37" fontId="15" fillId="3" borderId="0" xfId="0" applyNumberFormat="1" applyFont="1" applyFill="1" applyAlignment="1">
      <alignment horizontal="center" vertical="center"/>
    </xf>
    <xf numFmtId="0" fontId="34" fillId="0" borderId="0" xfId="0" applyFont="1" applyAlignment="1">
      <alignment horizontal="center" vertical="center"/>
    </xf>
    <xf numFmtId="37" fontId="3" fillId="3"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6" xfId="0" applyBorder="1" applyAlignment="1">
      <alignment vertical="center" wrapText="1"/>
    </xf>
    <xf numFmtId="0" fontId="4" fillId="3" borderId="0" xfId="0" applyFont="1" applyFill="1" applyAlignment="1">
      <alignment horizontal="center" vertical="center"/>
    </xf>
    <xf numFmtId="37" fontId="4" fillId="3" borderId="0" xfId="33" applyNumberFormat="1" applyFont="1" applyFill="1" applyAlignment="1">
      <alignment horizontal="center" vertical="center"/>
    </xf>
    <xf numFmtId="37" fontId="3" fillId="3" borderId="17" xfId="0" applyNumberFormat="1" applyFont="1" applyFill="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vertical="center"/>
    </xf>
    <xf numFmtId="0" fontId="0" fillId="0" borderId="4" xfId="0" applyBorder="1" applyAlignment="1">
      <alignment horizontal="center" vertical="center"/>
    </xf>
    <xf numFmtId="37" fontId="3" fillId="3" borderId="5" xfId="0" applyNumberFormat="1" applyFont="1" applyFill="1" applyBorder="1" applyAlignment="1">
      <alignment horizontal="center" vertical="center"/>
    </xf>
    <xf numFmtId="37" fontId="3" fillId="3" borderId="6"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520" applyFont="1" applyFill="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1" fontId="3" fillId="3" borderId="6"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5" borderId="0" xfId="519" applyFont="1" applyFill="1" applyAlignment="1">
      <alignment horizontal="center" vertical="center"/>
    </xf>
    <xf numFmtId="0" fontId="3" fillId="13" borderId="0" xfId="0" applyFont="1" applyFill="1" applyAlignment="1">
      <alignment horizontal="center" vertical="center"/>
    </xf>
    <xf numFmtId="0" fontId="3" fillId="3" borderId="0" xfId="0" applyFont="1" applyFill="1" applyAlignment="1">
      <alignment horizontal="right" vertical="center"/>
    </xf>
    <xf numFmtId="0" fontId="0" fillId="0" borderId="13" xfId="0" applyBorder="1" applyAlignment="1">
      <alignment horizontal="right" vertical="center"/>
    </xf>
    <xf numFmtId="172" fontId="20" fillId="13" borderId="10" xfId="0" applyNumberFormat="1" applyFont="1" applyFill="1" applyBorder="1" applyAlignment="1">
      <alignment horizontal="center" wrapText="1"/>
    </xf>
    <xf numFmtId="172" fontId="20" fillId="13" borderId="17" xfId="0" applyNumberFormat="1" applyFont="1" applyFill="1" applyBorder="1" applyAlignment="1">
      <alignment horizontal="center" wrapText="1"/>
    </xf>
    <xf numFmtId="172" fontId="20" fillId="13" borderId="11" xfId="0" applyNumberFormat="1" applyFont="1" applyFill="1" applyBorder="1" applyAlignment="1">
      <alignment horizontal="center" wrapText="1"/>
    </xf>
    <xf numFmtId="172" fontId="20" fillId="13" borderId="16" xfId="0" applyNumberFormat="1" applyFont="1" applyFill="1" applyBorder="1" applyAlignment="1">
      <alignment horizontal="center" wrapText="1"/>
    </xf>
    <xf numFmtId="172" fontId="20" fillId="13" borderId="0" xfId="0" applyNumberFormat="1" applyFont="1" applyFill="1" applyAlignment="1">
      <alignment horizontal="center" wrapText="1"/>
    </xf>
    <xf numFmtId="172" fontId="20" fillId="13" borderId="13" xfId="0" applyNumberFormat="1" applyFont="1" applyFill="1" applyBorder="1" applyAlignment="1">
      <alignment horizontal="center" wrapText="1"/>
    </xf>
    <xf numFmtId="0" fontId="3" fillId="13" borderId="16" xfId="0" applyFont="1" applyFill="1" applyBorder="1" applyAlignment="1">
      <alignment horizontal="center" vertical="center" wrapText="1"/>
    </xf>
    <xf numFmtId="0" fontId="3" fillId="13" borderId="0" xfId="0" applyFont="1" applyFill="1" applyAlignment="1">
      <alignment horizontal="center" vertical="center" wrapText="1"/>
    </xf>
    <xf numFmtId="0" fontId="3" fillId="13" borderId="15" xfId="0" applyFont="1" applyFill="1" applyBorder="1" applyAlignment="1">
      <alignment horizontal="center" vertical="center" wrapText="1"/>
    </xf>
    <xf numFmtId="0" fontId="3" fillId="13" borderId="1" xfId="0" applyFont="1" applyFill="1" applyBorder="1" applyAlignment="1">
      <alignment horizontal="center" vertical="center" wrapText="1"/>
    </xf>
    <xf numFmtId="49" fontId="51" fillId="13" borderId="13" xfId="0" applyNumberFormat="1" applyFont="1" applyFill="1" applyBorder="1" applyAlignment="1">
      <alignment horizontal="center" vertical="center"/>
    </xf>
    <xf numFmtId="49" fontId="51" fillId="13" borderId="8" xfId="0" applyNumberFormat="1" applyFont="1" applyFill="1" applyBorder="1" applyAlignment="1">
      <alignment horizontal="center" vertical="center"/>
    </xf>
    <xf numFmtId="0" fontId="50" fillId="0" borderId="17" xfId="0" applyFont="1" applyBorder="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3" fontId="3" fillId="3" borderId="17" xfId="66" applyNumberFormat="1" applyFont="1" applyFill="1" applyBorder="1" applyAlignment="1">
      <alignment horizontal="right" vertical="center"/>
    </xf>
    <xf numFmtId="0" fontId="2" fillId="0" borderId="11" xfId="66" applyBorder="1" applyAlignment="1">
      <alignment horizontal="right" vertical="center"/>
    </xf>
    <xf numFmtId="0" fontId="3" fillId="3" borderId="0" xfId="66" applyFont="1" applyFill="1" applyAlignment="1">
      <alignment horizontal="right" vertical="center"/>
    </xf>
    <xf numFmtId="0" fontId="3" fillId="0" borderId="13" xfId="66" applyFont="1" applyBorder="1" applyAlignment="1">
      <alignment horizontal="right" vertical="center"/>
    </xf>
    <xf numFmtId="0" fontId="0" fillId="0" borderId="0" xfId="0" applyAlignment="1">
      <alignment horizontal="right" vertical="center"/>
    </xf>
    <xf numFmtId="0" fontId="20" fillId="13" borderId="10" xfId="0" applyFont="1" applyFill="1"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0" fontId="20" fillId="3" borderId="10" xfId="42" applyFont="1" applyFill="1" applyBorder="1" applyAlignment="1">
      <alignment horizontal="center" vertical="center"/>
    </xf>
    <xf numFmtId="0" fontId="3" fillId="5" borderId="0" xfId="0" applyFont="1" applyFill="1" applyAlignment="1">
      <alignment horizontal="center" vertical="center"/>
    </xf>
    <xf numFmtId="0" fontId="16" fillId="5" borderId="0" xfId="0" applyFont="1" applyFill="1" applyAlignment="1">
      <alignment horizontal="center" vertical="center"/>
    </xf>
    <xf numFmtId="0" fontId="0" fillId="0" borderId="17" xfId="0" applyBorder="1" applyAlignment="1">
      <alignment horizontal="center" vertical="center"/>
    </xf>
    <xf numFmtId="0" fontId="0" fillId="0" borderId="11" xfId="0" applyBorder="1"/>
    <xf numFmtId="0" fontId="13" fillId="0" borderId="17" xfId="0" applyFont="1" applyBorder="1" applyAlignment="1">
      <alignment horizontal="center" vertical="center"/>
    </xf>
    <xf numFmtId="0" fontId="3" fillId="5" borderId="0" xfId="0" applyFont="1" applyFill="1" applyAlignment="1">
      <alignment horizontal="righ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15" fillId="13" borderId="10" xfId="62" applyFont="1" applyFill="1" applyBorder="1" applyAlignment="1">
      <alignment horizontal="center"/>
    </xf>
    <xf numFmtId="0" fontId="15" fillId="13" borderId="17" xfId="62" applyFont="1" applyFill="1" applyBorder="1" applyAlignment="1">
      <alignment horizontal="center"/>
    </xf>
    <xf numFmtId="0" fontId="15" fillId="13" borderId="11" xfId="62" applyFont="1" applyFill="1" applyBorder="1" applyAlignment="1">
      <alignment horizontal="center"/>
    </xf>
    <xf numFmtId="0" fontId="2" fillId="0" borderId="17" xfId="62" applyBorder="1" applyAlignment="1">
      <alignment horizontal="center"/>
    </xf>
    <xf numFmtId="0" fontId="2" fillId="0" borderId="11" xfId="62" applyBorder="1" applyAlignment="1">
      <alignment horizontal="center"/>
    </xf>
    <xf numFmtId="37" fontId="3" fillId="3" borderId="1" xfId="0" applyNumberFormat="1" applyFont="1" applyFill="1" applyBorder="1" applyAlignment="1" applyProtection="1">
      <alignment horizontal="center" vertical="center"/>
      <protection locked="0"/>
    </xf>
    <xf numFmtId="0" fontId="0" fillId="0" borderId="17" xfId="0" applyBorder="1" applyAlignment="1">
      <alignment horizontal="center"/>
    </xf>
    <xf numFmtId="0" fontId="0" fillId="0" borderId="11" xfId="0" applyBorder="1" applyAlignment="1">
      <alignment horizontal="center"/>
    </xf>
    <xf numFmtId="0" fontId="4" fillId="13" borderId="10" xfId="0" applyFont="1" applyFill="1" applyBorder="1" applyAlignment="1">
      <alignment horizontal="center" wrapText="1"/>
    </xf>
    <xf numFmtId="0" fontId="15" fillId="13" borderId="17" xfId="0" applyFont="1" applyFill="1" applyBorder="1" applyAlignment="1">
      <alignment horizontal="center" wrapText="1"/>
    </xf>
    <xf numFmtId="0" fontId="15" fillId="13" borderId="15" xfId="0" applyFont="1" applyFill="1" applyBorder="1" applyAlignment="1">
      <alignment horizontal="center" wrapText="1"/>
    </xf>
    <xf numFmtId="0" fontId="15" fillId="13" borderId="1" xfId="0" applyFont="1" applyFill="1" applyBorder="1" applyAlignment="1">
      <alignment horizontal="center" wrapText="1"/>
    </xf>
    <xf numFmtId="0" fontId="45" fillId="13" borderId="11" xfId="0" applyFont="1" applyFill="1" applyBorder="1" applyAlignment="1">
      <alignment horizontal="center" vertical="center" wrapText="1"/>
    </xf>
    <xf numFmtId="0" fontId="46" fillId="13" borderId="8" xfId="0" applyFont="1" applyFill="1" applyBorder="1" applyAlignment="1">
      <alignment horizontal="center" vertical="center" wrapText="1"/>
    </xf>
    <xf numFmtId="37" fontId="23" fillId="3" borderId="20" xfId="0" applyNumberFormat="1" applyFont="1" applyFill="1" applyBorder="1" applyAlignment="1">
      <alignment horizontal="right" vertical="center"/>
    </xf>
    <xf numFmtId="37" fontId="23" fillId="3" borderId="21" xfId="0" applyNumberFormat="1" applyFont="1" applyFill="1" applyBorder="1" applyAlignment="1">
      <alignment horizontal="right" vertical="center"/>
    </xf>
    <xf numFmtId="37" fontId="23" fillId="3" borderId="22" xfId="0" applyNumberFormat="1" applyFont="1" applyFill="1" applyBorder="1" applyAlignment="1">
      <alignment horizontal="right" vertical="center"/>
    </xf>
    <xf numFmtId="37" fontId="3" fillId="3" borderId="5" xfId="42" applyNumberFormat="1" applyFont="1" applyFill="1" applyBorder="1" applyAlignment="1">
      <alignment horizontal="center" vertical="center" wrapText="1"/>
    </xf>
    <xf numFmtId="37" fontId="3" fillId="3" borderId="6" xfId="42" applyNumberFormat="1" applyFont="1" applyFill="1" applyBorder="1" applyAlignment="1">
      <alignment horizontal="center" vertical="center" wrapText="1"/>
    </xf>
    <xf numFmtId="37" fontId="3" fillId="13" borderId="0" xfId="0" applyNumberFormat="1" applyFont="1" applyFill="1" applyAlignment="1">
      <alignment horizontal="center" vertical="center"/>
    </xf>
    <xf numFmtId="1" fontId="3" fillId="3" borderId="7"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37" fontId="3" fillId="3" borderId="17" xfId="0" applyNumberFormat="1" applyFont="1" applyFill="1" applyBorder="1" applyAlignment="1">
      <alignment horizontal="center" vertical="center"/>
    </xf>
    <xf numFmtId="37" fontId="4" fillId="3" borderId="0" xfId="0" applyNumberFormat="1" applyFont="1" applyFill="1" applyAlignment="1">
      <alignment horizontal="center"/>
    </xf>
    <xf numFmtId="0" fontId="0" fillId="0" borderId="1" xfId="0" applyBorder="1" applyAlignment="1" applyProtection="1">
      <alignment vertical="center"/>
      <protection locked="0"/>
    </xf>
    <xf numFmtId="37" fontId="3" fillId="3" borderId="17" xfId="0" applyNumberFormat="1"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37" fontId="4" fillId="3" borderId="5" xfId="0" applyNumberFormat="1" applyFont="1" applyFill="1" applyBorder="1" applyAlignment="1">
      <alignment horizontal="center" vertical="center" wrapText="1"/>
    </xf>
    <xf numFmtId="37" fontId="4" fillId="3" borderId="3" xfId="0" applyNumberFormat="1" applyFont="1" applyFill="1" applyBorder="1" applyAlignment="1">
      <alignment horizontal="center" vertical="center" wrapText="1"/>
    </xf>
    <xf numFmtId="37" fontId="4" fillId="3" borderId="6" xfId="0" applyNumberFormat="1" applyFont="1" applyFill="1" applyBorder="1" applyAlignment="1">
      <alignment horizontal="center" vertical="center" wrapText="1"/>
    </xf>
    <xf numFmtId="0" fontId="3" fillId="3" borderId="7" xfId="0" applyFont="1" applyFill="1" applyBorder="1" applyAlignment="1">
      <alignment horizontal="center"/>
    </xf>
    <xf numFmtId="0" fontId="3" fillId="3" borderId="4" xfId="0" applyFont="1" applyFill="1" applyBorder="1" applyAlignment="1">
      <alignment horizontal="center"/>
    </xf>
    <xf numFmtId="1" fontId="3" fillId="3" borderId="7" xfId="0" applyNumberFormat="1" applyFont="1" applyFill="1" applyBorder="1" applyAlignment="1">
      <alignment horizontal="center"/>
    </xf>
    <xf numFmtId="1" fontId="3" fillId="3" borderId="4" xfId="0" applyNumberFormat="1" applyFont="1" applyFill="1" applyBorder="1" applyAlignment="1">
      <alignment horizontal="center"/>
    </xf>
    <xf numFmtId="37" fontId="3" fillId="3" borderId="3" xfId="0" applyNumberFormat="1" applyFont="1" applyFill="1" applyBorder="1" applyAlignment="1">
      <alignment horizontal="center" vertical="center" wrapText="1"/>
    </xf>
    <xf numFmtId="37" fontId="3" fillId="3" borderId="7" xfId="0" applyNumberFormat="1" applyFont="1" applyFill="1" applyBorder="1" applyAlignment="1">
      <alignment horizontal="center"/>
    </xf>
    <xf numFmtId="37" fontId="3" fillId="3" borderId="9" xfId="0" applyNumberFormat="1" applyFont="1" applyFill="1" applyBorder="1" applyAlignment="1">
      <alignment horizontal="center"/>
    </xf>
    <xf numFmtId="37" fontId="3" fillId="3" borderId="4" xfId="0" applyNumberFormat="1" applyFont="1" applyFill="1" applyBorder="1" applyAlignment="1">
      <alignment horizontal="center"/>
    </xf>
    <xf numFmtId="37" fontId="23" fillId="3" borderId="2" xfId="0" applyNumberFormat="1" applyFont="1" applyFill="1" applyBorder="1" applyAlignment="1">
      <alignment horizontal="center" vertical="center" wrapText="1"/>
    </xf>
    <xf numFmtId="49" fontId="3" fillId="3" borderId="0" xfId="0" applyNumberFormat="1" applyFont="1" applyFill="1" applyAlignment="1" applyProtection="1">
      <alignment horizontal="left" vertical="center"/>
      <protection locked="0"/>
    </xf>
    <xf numFmtId="0" fontId="15" fillId="3" borderId="0" xfId="0" applyFont="1" applyFill="1" applyAlignment="1">
      <alignment horizontal="center" vertical="center"/>
    </xf>
    <xf numFmtId="0" fontId="3" fillId="3" borderId="2" xfId="0" applyFont="1" applyFill="1" applyBorder="1" applyAlignment="1">
      <alignment horizontal="center" vertical="center"/>
    </xf>
    <xf numFmtId="0" fontId="3" fillId="15" borderId="0" xfId="0" applyFont="1" applyFill="1" applyAlignment="1">
      <alignment horizontal="right" vertical="center"/>
    </xf>
    <xf numFmtId="0" fontId="15"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center"/>
    </xf>
    <xf numFmtId="0" fontId="53" fillId="0" borderId="7" xfId="521" applyFont="1" applyBorder="1" applyAlignment="1">
      <alignment horizontal="center"/>
    </xf>
    <xf numFmtId="0" fontId="53" fillId="0" borderId="9" xfId="521" applyFont="1" applyBorder="1" applyAlignment="1">
      <alignment horizontal="center"/>
    </xf>
    <xf numFmtId="0" fontId="53" fillId="0" borderId="4" xfId="521" applyFont="1" applyBorder="1" applyAlignment="1">
      <alignment horizontal="center"/>
    </xf>
    <xf numFmtId="0" fontId="52" fillId="0" borderId="0" xfId="521" applyFont="1" applyAlignment="1">
      <alignment horizontal="center"/>
    </xf>
    <xf numFmtId="0" fontId="53" fillId="0" borderId="0" xfId="521" applyFont="1" applyAlignment="1">
      <alignment horizontal="center" wrapText="1"/>
    </xf>
    <xf numFmtId="0" fontId="53" fillId="0" borderId="0" xfId="521" applyFont="1" applyAlignment="1">
      <alignment horizontal="center"/>
    </xf>
    <xf numFmtId="0" fontId="54" fillId="17" borderId="7" xfId="521" applyFont="1" applyFill="1" applyBorder="1" applyAlignment="1">
      <alignment horizontal="center" vertical="center"/>
    </xf>
    <xf numFmtId="0" fontId="54" fillId="17" borderId="9" xfId="521" applyFont="1" applyFill="1" applyBorder="1" applyAlignment="1">
      <alignment horizontal="center" vertical="center"/>
    </xf>
    <xf numFmtId="0" fontId="54" fillId="17" borderId="4" xfId="521" applyFont="1" applyFill="1" applyBorder="1" applyAlignment="1">
      <alignment horizontal="center" vertical="center"/>
    </xf>
    <xf numFmtId="0" fontId="53" fillId="0" borderId="2" xfId="521" applyFont="1" applyBorder="1" applyAlignment="1">
      <alignment horizontal="center"/>
    </xf>
    <xf numFmtId="0" fontId="53" fillId="0" borderId="12" xfId="521" applyFont="1" applyBorder="1" applyAlignment="1">
      <alignment horizontal="center"/>
    </xf>
    <xf numFmtId="0" fontId="55" fillId="0" borderId="6" xfId="521" applyFont="1" applyBorder="1" applyAlignment="1">
      <alignment horizontal="center" vertical="center"/>
    </xf>
    <xf numFmtId="0" fontId="53" fillId="0" borderId="1" xfId="521" applyFont="1" applyBorder="1" applyAlignment="1">
      <alignment horizontal="center" wrapText="1"/>
    </xf>
    <xf numFmtId="0" fontId="3" fillId="0" borderId="0" xfId="0" applyFont="1" applyAlignment="1">
      <alignment horizontal="center" wrapText="1"/>
    </xf>
    <xf numFmtId="0" fontId="4" fillId="0" borderId="0" xfId="0" applyFont="1" applyAlignment="1">
      <alignment wrapText="1"/>
    </xf>
    <xf numFmtId="0" fontId="3" fillId="0" borderId="0" xfId="0" applyFont="1" applyAlignment="1">
      <alignment wrapText="1"/>
    </xf>
    <xf numFmtId="0" fontId="56" fillId="0" borderId="0" xfId="0" quotePrefix="1" applyFont="1" applyAlignment="1">
      <alignment horizontal="center" vertical="center"/>
    </xf>
    <xf numFmtId="0" fontId="56" fillId="0" borderId="0" xfId="0" applyFont="1" applyAlignment="1">
      <alignment horizontal="center" vertical="center"/>
    </xf>
    <xf numFmtId="0" fontId="45" fillId="0" borderId="0" xfId="0" applyFont="1" applyAlignment="1">
      <alignment horizontal="center" vertical="center"/>
    </xf>
    <xf numFmtId="0" fontId="64" fillId="0" borderId="0" xfId="0" applyFont="1" applyAlignment="1">
      <alignment horizontal="center" wrapText="1"/>
    </xf>
    <xf numFmtId="164" fontId="3" fillId="3" borderId="2" xfId="0" applyNumberFormat="1" applyFont="1" applyFill="1" applyBorder="1" applyAlignment="1">
      <alignment horizontal="right" vertical="center"/>
    </xf>
    <xf numFmtId="171" fontId="3" fillId="3" borderId="2" xfId="0" applyNumberFormat="1" applyFont="1" applyFill="1" applyBorder="1" applyAlignment="1" applyProtection="1">
      <alignment vertical="center"/>
      <protection locked="0"/>
    </xf>
    <xf numFmtId="0" fontId="3" fillId="3" borderId="2" xfId="0" applyFont="1" applyFill="1" applyBorder="1" applyAlignment="1" applyProtection="1">
      <alignment horizontal="right" vertical="center"/>
      <protection locked="0"/>
    </xf>
    <xf numFmtId="171" fontId="3" fillId="3" borderId="2" xfId="0" applyNumberFormat="1" applyFont="1" applyFill="1" applyBorder="1" applyAlignment="1" applyProtection="1">
      <alignment horizontal="right" vertical="center"/>
      <protection locked="0"/>
    </xf>
    <xf numFmtId="171" fontId="3" fillId="3" borderId="5" xfId="0" applyNumberFormat="1" applyFont="1" applyFill="1" applyBorder="1" applyAlignment="1" applyProtection="1">
      <alignment vertical="center"/>
      <protection locked="0"/>
    </xf>
  </cellXfs>
  <cellStyles count="523">
    <cellStyle name="Comma" xfId="1" builtinId="3"/>
    <cellStyle name="Comma 11 2" xfId="2"/>
    <cellStyle name="Comma 16" xfId="3"/>
    <cellStyle name="Comma 16 2" xfId="4"/>
    <cellStyle name="Comma 16 3" xfId="5"/>
    <cellStyle name="Comma 17" xfId="6"/>
    <cellStyle name="Comma 2 2" xfId="7"/>
    <cellStyle name="Comma 3 2" xfId="8"/>
    <cellStyle name="Comma 3 3" xfId="9"/>
    <cellStyle name="Comma 4 2" xfId="10"/>
    <cellStyle name="Comma 6 2" xfId="11"/>
    <cellStyle name="Comma 7" xfId="12"/>
    <cellStyle name="Comma 7 2" xfId="13"/>
    <cellStyle name="Comma 7 3" xfId="14"/>
    <cellStyle name="Hyperlink" xfId="522" builtinId="8"/>
    <cellStyle name="Hyperlink 16" xfId="15"/>
    <cellStyle name="Hyperlink 2" xfId="16"/>
    <cellStyle name="Hyperlink 2 2" xfId="17"/>
    <cellStyle name="Hyperlink 2 3" xfId="18"/>
    <cellStyle name="Hyperlink 3" xfId="19"/>
    <cellStyle name="Hyperlink 3 2" xfId="20"/>
    <cellStyle name="Hyperlink 3 3" xfId="21"/>
    <cellStyle name="Hyperlink 3 4" xfId="22"/>
    <cellStyle name="Hyperlink 4" xfId="23"/>
    <cellStyle name="Hyperlink 4 2" xfId="24"/>
    <cellStyle name="Hyperlink 7" xfId="25"/>
    <cellStyle name="Hyperlink 7 2" xfId="26"/>
    <cellStyle name="Hyperlink 7 3" xfId="27"/>
    <cellStyle name="Hyperlink 8" xfId="28"/>
    <cellStyle name="Hyperlink 8 2" xfId="29"/>
    <cellStyle name="Normal" xfId="0" builtinId="0"/>
    <cellStyle name="Normal 10" xfId="30"/>
    <cellStyle name="Normal 10 2" xfId="31"/>
    <cellStyle name="Normal 10 2 2" xfId="32"/>
    <cellStyle name="Normal 10 2 2 2" xfId="33"/>
    <cellStyle name="Normal 10 2 2 3" xfId="34"/>
    <cellStyle name="Normal 10 2 3" xfId="35"/>
    <cellStyle name="Normal 10 3" xfId="36"/>
    <cellStyle name="Normal 10 3 2" xfId="37"/>
    <cellStyle name="Normal 10 3 3" xfId="38"/>
    <cellStyle name="Normal 10 4" xfId="39"/>
    <cellStyle name="Normal 10 4 2" xfId="40"/>
    <cellStyle name="Normal 10 4 3" xfId="41"/>
    <cellStyle name="Normal 10 5" xfId="42"/>
    <cellStyle name="Normal 10 5 2" xfId="43"/>
    <cellStyle name="Normal 10 5 3" xfId="44"/>
    <cellStyle name="Normal 10 6" xfId="45"/>
    <cellStyle name="Normal 10 6 2" xfId="46"/>
    <cellStyle name="Normal 10 6 3" xfId="47"/>
    <cellStyle name="Normal 10 7" xfId="48"/>
    <cellStyle name="Normal 10 7 2" xfId="49"/>
    <cellStyle name="Normal 10 7 3" xfId="50"/>
    <cellStyle name="Normal 11" xfId="51"/>
    <cellStyle name="Normal 11 2" xfId="52"/>
    <cellStyle name="Normal 11 2 2" xfId="53"/>
    <cellStyle name="Normal 11 2 3" xfId="54"/>
    <cellStyle name="Normal 11 3" xfId="55"/>
    <cellStyle name="Normal 11 4" xfId="56"/>
    <cellStyle name="Normal 11 5" xfId="57"/>
    <cellStyle name="Normal 11 5 2" xfId="58"/>
    <cellStyle name="Normal 11 5 3" xfId="59"/>
    <cellStyle name="Normal 11 6" xfId="60"/>
    <cellStyle name="Normal 12" xfId="61"/>
    <cellStyle name="Normal 12 10" xfId="62"/>
    <cellStyle name="Normal 12 11" xfId="63"/>
    <cellStyle name="Normal 12 12" xfId="64"/>
    <cellStyle name="Normal 12 13" xfId="65"/>
    <cellStyle name="Normal 12 2" xfId="66"/>
    <cellStyle name="Normal 12 2 2" xfId="67"/>
    <cellStyle name="Normal 12 3" xfId="68"/>
    <cellStyle name="Normal 12 4" xfId="69"/>
    <cellStyle name="Normal 12 5" xfId="70"/>
    <cellStyle name="Normal 12 6" xfId="71"/>
    <cellStyle name="Normal 12 7" xfId="72"/>
    <cellStyle name="Normal 12 8" xfId="73"/>
    <cellStyle name="Normal 12 9" xfId="74"/>
    <cellStyle name="Normal 13" xfId="75"/>
    <cellStyle name="Normal 13 10" xfId="76"/>
    <cellStyle name="Normal 13 11" xfId="77"/>
    <cellStyle name="Normal 13 12" xfId="78"/>
    <cellStyle name="Normal 13 13" xfId="79"/>
    <cellStyle name="Normal 13 2" xfId="80"/>
    <cellStyle name="Normal 13 2 2" xfId="81"/>
    <cellStyle name="Normal 13 3" xfId="82"/>
    <cellStyle name="Normal 13 4" xfId="83"/>
    <cellStyle name="Normal 13 5" xfId="84"/>
    <cellStyle name="Normal 13 6" xfId="85"/>
    <cellStyle name="Normal 13 7" xfId="86"/>
    <cellStyle name="Normal 13 8" xfId="87"/>
    <cellStyle name="Normal 13 9" xfId="88"/>
    <cellStyle name="Normal 14" xfId="89"/>
    <cellStyle name="Normal 14 2" xfId="90"/>
    <cellStyle name="Normal 14 3" xfId="91"/>
    <cellStyle name="Normal 14 4" xfId="92"/>
    <cellStyle name="Normal 14 5" xfId="93"/>
    <cellStyle name="Normal 14 6" xfId="94"/>
    <cellStyle name="Normal 14 7" xfId="95"/>
    <cellStyle name="Normal 14 7 2" xfId="96"/>
    <cellStyle name="Normal 14 7 3" xfId="97"/>
    <cellStyle name="Normal 15" xfId="98"/>
    <cellStyle name="Normal 15 2" xfId="99"/>
    <cellStyle name="Normal 15 3" xfId="100"/>
    <cellStyle name="Normal 15 4" xfId="101"/>
    <cellStyle name="Normal 15 5" xfId="102"/>
    <cellStyle name="Normal 16" xfId="103"/>
    <cellStyle name="Normal 16 2" xfId="104"/>
    <cellStyle name="Normal 16 3" xfId="105"/>
    <cellStyle name="Normal 16 4" xfId="106"/>
    <cellStyle name="Normal 16 5" xfId="107"/>
    <cellStyle name="Normal 17" xfId="108"/>
    <cellStyle name="Normal 17 2" xfId="109"/>
    <cellStyle name="Normal 17 3" xfId="110"/>
    <cellStyle name="Normal 17 4" xfId="111"/>
    <cellStyle name="Normal 17 5"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8 7" xfId="121"/>
    <cellStyle name="Normal 18 8" xfId="122"/>
    <cellStyle name="Normal 18 9"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19 7" xfId="132"/>
    <cellStyle name="Normal 19 8" xfId="133"/>
    <cellStyle name="Normal 2 10" xfId="134"/>
    <cellStyle name="Normal 2 10 10" xfId="135"/>
    <cellStyle name="Normal 2 10 11" xfId="136"/>
    <cellStyle name="Normal 2 10 11 2" xfId="137"/>
    <cellStyle name="Normal 2 10 11 2 2" xfId="138"/>
    <cellStyle name="Normal 2 10 11 2 2 2" xfId="139"/>
    <cellStyle name="Normal 2 10 11 2 2 3" xfId="140"/>
    <cellStyle name="Normal 2 10 11 3" xfId="141"/>
    <cellStyle name="Normal 2 10 11 4" xfId="142"/>
    <cellStyle name="Normal 2 10 11 5" xfId="143"/>
    <cellStyle name="Normal 2 10 12"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11" xfId="162"/>
    <cellStyle name="Normal 2 11 2" xfId="163"/>
    <cellStyle name="Normal 2 11 2 2" xfId="164"/>
    <cellStyle name="Normal 2 11 3" xfId="165"/>
    <cellStyle name="Normal 2 11 3 2" xfId="166"/>
    <cellStyle name="Normal 2 11 4" xfId="167"/>
    <cellStyle name="Normal 2 11 4 2" xfId="168"/>
    <cellStyle name="Normal 2 11 5" xfId="169"/>
    <cellStyle name="Normal 2 11 5 2" xfId="170"/>
    <cellStyle name="Normal 2 11 6" xfId="171"/>
    <cellStyle name="Normal 2 11 6 2" xfId="172"/>
    <cellStyle name="Normal 2 11 7" xfId="173"/>
    <cellStyle name="Normal 2 11 7 2" xfId="174"/>
    <cellStyle name="Normal 2 11 8" xfId="175"/>
    <cellStyle name="Normal 2 11 8 2" xfId="176"/>
    <cellStyle name="Normal 2 11 9" xfId="177"/>
    <cellStyle name="Normal 2 12" xfId="178"/>
    <cellStyle name="Normal 2 13" xfId="179"/>
    <cellStyle name="Normal 2 14" xfId="180"/>
    <cellStyle name="Normal 2 15" xfId="181"/>
    <cellStyle name="Normal 2 16" xfId="182"/>
    <cellStyle name="Normal 2 17" xfId="183"/>
    <cellStyle name="Normal 2 17 2" xfId="184"/>
    <cellStyle name="Normal 2 17 3" xfId="185"/>
    <cellStyle name="Normal 2 2" xfId="186"/>
    <cellStyle name="Normal 2 2 10" xfId="187"/>
    <cellStyle name="Normal 2 2 10 2" xfId="188"/>
    <cellStyle name="Normal 2 2 11" xfId="189"/>
    <cellStyle name="Normal 2 2 11 2" xfId="190"/>
    <cellStyle name="Normal 2 2 12" xfId="191"/>
    <cellStyle name="Normal 2 2 12 2" xfId="192"/>
    <cellStyle name="Normal 2 2 12 2 2" xfId="193"/>
    <cellStyle name="Normal 2 2 12 2 3" xfId="194"/>
    <cellStyle name="Normal 2 2 12 2 4" xfId="195"/>
    <cellStyle name="Normal 2 2 12 3" xfId="196"/>
    <cellStyle name="Normal 2 2 12 4" xfId="197"/>
    <cellStyle name="Normal 2 2 13" xfId="198"/>
    <cellStyle name="Normal 2 2 13 2" xfId="199"/>
    <cellStyle name="Normal 2 2 13 2 2" xfId="200"/>
    <cellStyle name="Normal 2 2 13 2 3" xfId="201"/>
    <cellStyle name="Normal 2 2 13 2 4" xfId="202"/>
    <cellStyle name="Normal 2 2 13 3" xfId="203"/>
    <cellStyle name="Normal 2 2 13 4" xfId="204"/>
    <cellStyle name="Normal 2 2 14" xfId="205"/>
    <cellStyle name="Normal 2 2 14 2" xfId="206"/>
    <cellStyle name="Normal 2 2 15" xfId="207"/>
    <cellStyle name="Normal 2 2 15 2"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2 3 2" xfId="219"/>
    <cellStyle name="Normal 2 2 2 2 3 3" xfId="220"/>
    <cellStyle name="Normal 2 2 2 3" xfId="221"/>
    <cellStyle name="Normal 2 2 2 3 2" xfId="222"/>
    <cellStyle name="Normal 2 2 2 3 3" xfId="223"/>
    <cellStyle name="Normal 2 2 2 3 4" xfId="224"/>
    <cellStyle name="Normal 2 2 2 4" xfId="225"/>
    <cellStyle name="Normal 2 2 2 4 2" xfId="226"/>
    <cellStyle name="Normal 2 2 2 5" xfId="227"/>
    <cellStyle name="Normal 2 2 2 5 2" xfId="228"/>
    <cellStyle name="Normal 2 2 2 5 3" xfId="229"/>
    <cellStyle name="Normal 2 2 2 5 4" xfId="230"/>
    <cellStyle name="Normal 2 2 2 6" xfId="231"/>
    <cellStyle name="Normal 2 2 2 6 2" xfId="232"/>
    <cellStyle name="Normal 2 2 2 7" xfId="233"/>
    <cellStyle name="Normal 2 2 2 7 2" xfId="234"/>
    <cellStyle name="Normal 2 2 2 7 3" xfId="235"/>
    <cellStyle name="Normal 2 2 2 8" xfId="236"/>
    <cellStyle name="Normal 2 2 20" xfId="237"/>
    <cellStyle name="Normal 2 2 21" xfId="238"/>
    <cellStyle name="Normal 2 2 22" xfId="239"/>
    <cellStyle name="Normal 2 2 3" xfId="240"/>
    <cellStyle name="Normal 2 2 3 2" xfId="241"/>
    <cellStyle name="Normal 2 2 4" xfId="242"/>
    <cellStyle name="Normal 2 2 4 2" xfId="243"/>
    <cellStyle name="Normal 2 2 5" xfId="244"/>
    <cellStyle name="Normal 2 2 5 2" xfId="245"/>
    <cellStyle name="Normal 2 2 6" xfId="246"/>
    <cellStyle name="Normal 2 2 6 2" xfId="247"/>
    <cellStyle name="Normal 2 2 7" xfId="248"/>
    <cellStyle name="Normal 2 2 7 2" xfId="249"/>
    <cellStyle name="Normal 2 2 8" xfId="250"/>
    <cellStyle name="Normal 2 2 8 2" xfId="251"/>
    <cellStyle name="Normal 2 2 9" xfId="252"/>
    <cellStyle name="Normal 2 2 9 2" xfId="253"/>
    <cellStyle name="Normal 2 3" xfId="254"/>
    <cellStyle name="Normal 2 3 10" xfId="255"/>
    <cellStyle name="Normal 2 3 11" xfId="256"/>
    <cellStyle name="Normal 2 3 12" xfId="257"/>
    <cellStyle name="Normal 2 3 13" xfId="258"/>
    <cellStyle name="Normal 2 3 14" xfId="259"/>
    <cellStyle name="Normal 2 3 15" xfId="260"/>
    <cellStyle name="Normal 2 3 2" xfId="261"/>
    <cellStyle name="Normal 2 3 2 2" xfId="262"/>
    <cellStyle name="Normal 2 3 2 2 2" xfId="263"/>
    <cellStyle name="Normal 2 3 2 2 3" xfId="264"/>
    <cellStyle name="Normal 2 3 2 3" xfId="265"/>
    <cellStyle name="Normal 2 3 2 4" xfId="266"/>
    <cellStyle name="Normal 2 3 2 5" xfId="267"/>
    <cellStyle name="Normal 2 3 3" xfId="268"/>
    <cellStyle name="Normal 2 3 3 2" xfId="269"/>
    <cellStyle name="Normal 2 3 3 3" xfId="270"/>
    <cellStyle name="Normal 2 3 4" xfId="271"/>
    <cellStyle name="Normal 2 3 5" xfId="272"/>
    <cellStyle name="Normal 2 3 6" xfId="273"/>
    <cellStyle name="Normal 2 3 7" xfId="274"/>
    <cellStyle name="Normal 2 3 8" xfId="275"/>
    <cellStyle name="Normal 2 3 9" xfId="276"/>
    <cellStyle name="Normal 2 4" xfId="277"/>
    <cellStyle name="Normal 2 4 10" xfId="278"/>
    <cellStyle name="Normal 2 4 11" xfId="279"/>
    <cellStyle name="Normal 2 4 12" xfId="280"/>
    <cellStyle name="Normal 2 4 12 2" xfId="281"/>
    <cellStyle name="Normal 2 4 12 3" xfId="282"/>
    <cellStyle name="Normal 2 4 13" xfId="283"/>
    <cellStyle name="Normal 2 4 13 2" xfId="284"/>
    <cellStyle name="Normal 2 4 13 3" xfId="285"/>
    <cellStyle name="Normal 2 4 2" xfId="286"/>
    <cellStyle name="Normal 2 4 2 2" xfId="287"/>
    <cellStyle name="Normal 2 4 2 2 2" xfId="288"/>
    <cellStyle name="Normal 2 4 2 2 3" xfId="289"/>
    <cellStyle name="Normal 2 4 2 3" xfId="290"/>
    <cellStyle name="Normal 2 4 2 4" xfId="291"/>
    <cellStyle name="Normal 2 4 2 5"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12 3" xfId="307"/>
    <cellStyle name="Normal 2 5 2" xfId="308"/>
    <cellStyle name="Normal 2 5 2 2" xfId="309"/>
    <cellStyle name="Normal 2 5 3" xfId="310"/>
    <cellStyle name="Normal 2 5 3 2" xfId="311"/>
    <cellStyle name="Normal 2 5 4" xfId="312"/>
    <cellStyle name="Normal 2 5 5" xfId="313"/>
    <cellStyle name="Normal 2 5 6" xfId="314"/>
    <cellStyle name="Normal 2 5 7" xfId="315"/>
    <cellStyle name="Normal 2 5 8" xfId="316"/>
    <cellStyle name="Normal 2 5 9"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11"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1 2 2" xfId="392"/>
    <cellStyle name="Normal 21 2 3" xfId="393"/>
    <cellStyle name="Normal 21 3" xfId="394"/>
    <cellStyle name="Normal 21 4" xfId="395"/>
    <cellStyle name="Normal 21 5"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27" xfId="410"/>
    <cellStyle name="Normal 27 2" xfId="411"/>
    <cellStyle name="Normal 3 10" xfId="412"/>
    <cellStyle name="Normal 3 10 2" xfId="413"/>
    <cellStyle name="Normal 3 11" xfId="414"/>
    <cellStyle name="Normal 3 12" xfId="415"/>
    <cellStyle name="Normal 3 13" xfId="416"/>
    <cellStyle name="Normal 3 14" xfId="417"/>
    <cellStyle name="Normal 3 15" xfId="418"/>
    <cellStyle name="Normal 3 2" xfId="419"/>
    <cellStyle name="Normal 3 2 2" xfId="420"/>
    <cellStyle name="Normal 3 2 2 2" xfId="421"/>
    <cellStyle name="Normal 3 2 2 3" xfId="422"/>
    <cellStyle name="Normal 3 2 3" xfId="423"/>
    <cellStyle name="Normal 3 2 4" xfId="424"/>
    <cellStyle name="Normal 3 2 5" xfId="425"/>
    <cellStyle name="Normal 3 3" xfId="426"/>
    <cellStyle name="Normal 3 3 2" xfId="427"/>
    <cellStyle name="Normal 3 3 2 2" xfId="428"/>
    <cellStyle name="Normal 3 3 2 3" xfId="429"/>
    <cellStyle name="Normal 3 3 3" xfId="430"/>
    <cellStyle name="Normal 3 3 4" xfId="431"/>
    <cellStyle name="Normal 3 4" xfId="432"/>
    <cellStyle name="Normal 3 5" xfId="433"/>
    <cellStyle name="Normal 3 6" xfId="434"/>
    <cellStyle name="Normal 3 7" xfId="435"/>
    <cellStyle name="Normal 3 7 2" xfId="436"/>
    <cellStyle name="Normal 3 7 3" xfId="437"/>
    <cellStyle name="Normal 3 8" xfId="438"/>
    <cellStyle name="Normal 3 8 2" xfId="439"/>
    <cellStyle name="Normal 3 8 3" xfId="440"/>
    <cellStyle name="Normal 3 9" xfId="441"/>
    <cellStyle name="Normal 3 9 2" xfId="442"/>
    <cellStyle name="Normal 3 9 3" xfId="443"/>
    <cellStyle name="Normal 4 10" xfId="444"/>
    <cellStyle name="Normal 4 11" xfId="445"/>
    <cellStyle name="Normal 4 12" xfId="446"/>
    <cellStyle name="Normal 4 13" xfId="447"/>
    <cellStyle name="Normal 4 2" xfId="448"/>
    <cellStyle name="Normal 4 2 2" xfId="449"/>
    <cellStyle name="Normal 4 2 2 2" xfId="450"/>
    <cellStyle name="Normal 4 2 2 3" xfId="451"/>
    <cellStyle name="Normal 4 2 2 3 2" xfId="452"/>
    <cellStyle name="Normal 4 2 2 3 3" xfId="453"/>
    <cellStyle name="Normal 4 2 3" xfId="454"/>
    <cellStyle name="Normal 4 2 4" xfId="455"/>
    <cellStyle name="Normal 4 2 5" xfId="456"/>
    <cellStyle name="Normal 4 3" xfId="457"/>
    <cellStyle name="Normal 4 3 2" xfId="458"/>
    <cellStyle name="Normal 4 3 3" xfId="459"/>
    <cellStyle name="Normal 4 4" xfId="460"/>
    <cellStyle name="Normal 4 5" xfId="461"/>
    <cellStyle name="Normal 4 5 2" xfId="462"/>
    <cellStyle name="Normal 4 5 3" xfId="463"/>
    <cellStyle name="Normal 4 6" xfId="464"/>
    <cellStyle name="Normal 4 6 2" xfId="465"/>
    <cellStyle name="Normal 4 6 3" xfId="466"/>
    <cellStyle name="Normal 4 7" xfId="467"/>
    <cellStyle name="Normal 4 8" xfId="468"/>
    <cellStyle name="Normal 4 9" xfId="469"/>
    <cellStyle name="Normal 5" xfId="521"/>
    <cellStyle name="Normal 5 2" xfId="470"/>
    <cellStyle name="Normal 5 3" xfId="471"/>
    <cellStyle name="Normal 5 3 2" xfId="472"/>
    <cellStyle name="Normal 5 3 3" xfId="473"/>
    <cellStyle name="Normal 5 4" xfId="474"/>
    <cellStyle name="Normal 5 5" xfId="475"/>
    <cellStyle name="Normal 5 5 2" xfId="476"/>
    <cellStyle name="Normal 5 5 3" xfId="477"/>
    <cellStyle name="Normal 5 6" xfId="478"/>
    <cellStyle name="Normal 6 2" xfId="479"/>
    <cellStyle name="Normal 6 3" xfId="480"/>
    <cellStyle name="Normal 6 4" xfId="481"/>
    <cellStyle name="Normal 6 5" xfId="482"/>
    <cellStyle name="Normal 7" xfId="483"/>
    <cellStyle name="Normal 7 2" xfId="484"/>
    <cellStyle name="Normal 7 2 2" xfId="485"/>
    <cellStyle name="Normal 7 2 2 2" xfId="486"/>
    <cellStyle name="Normal 7 2 2 3" xfId="487"/>
    <cellStyle name="Normal 7 2 3" xfId="488"/>
    <cellStyle name="Normal 7 2 4" xfId="489"/>
    <cellStyle name="Normal 7 2 4 2" xfId="490"/>
    <cellStyle name="Normal 7 2 4 3" xfId="491"/>
    <cellStyle name="Normal 7 2 5" xfId="492"/>
    <cellStyle name="Normal 7 3" xfId="493"/>
    <cellStyle name="Normal 7 4" xfId="494"/>
    <cellStyle name="Normal 7 4 2" xfId="495"/>
    <cellStyle name="Normal 7 4 3" xfId="496"/>
    <cellStyle name="Normal 7 5" xfId="497"/>
    <cellStyle name="Normal 7 5 2" xfId="498"/>
    <cellStyle name="Normal 7 5 3" xfId="499"/>
    <cellStyle name="Normal 7 5 4" xfId="500"/>
    <cellStyle name="Normal 7 5 5" xfId="501"/>
    <cellStyle name="Normal 7 6" xfId="502"/>
    <cellStyle name="Normal 7 7" xfId="503"/>
    <cellStyle name="Normal 8" xfId="504"/>
    <cellStyle name="Normal 8 2" xfId="505"/>
    <cellStyle name="Normal 8 3" xfId="506"/>
    <cellStyle name="Normal 9" xfId="507"/>
    <cellStyle name="Normal 9 2" xfId="508"/>
    <cellStyle name="Normal 9 2 2" xfId="509"/>
    <cellStyle name="Normal 9 2 3" xfId="510"/>
    <cellStyle name="Normal 9 3" xfId="511"/>
    <cellStyle name="Normal 9 4" xfId="512"/>
    <cellStyle name="Normal 9 5" xfId="513"/>
    <cellStyle name="Normal 9 5 2" xfId="514"/>
    <cellStyle name="Normal 9 5 3" xfId="515"/>
    <cellStyle name="Normal 9 6" xfId="516"/>
    <cellStyle name="Normal 9 6 2" xfId="517"/>
    <cellStyle name="Normal 9 6 3" xfId="518"/>
    <cellStyle name="Normal_debt" xfId="519"/>
    <cellStyle name="Normal_lpform" xfId="520"/>
  </cellStyles>
  <dxfs count="404">
    <dxf>
      <font>
        <b/>
        <i val="0"/>
        <strike val="0"/>
        <color rgb="FFFF0000"/>
      </font>
    </dxf>
    <dxf>
      <font>
        <b/>
        <i val="0"/>
        <strike val="0"/>
      </font>
      <fill>
        <patternFill>
          <bgColor rgb="FFFF0000"/>
        </patternFill>
      </fill>
    </dxf>
    <dxf>
      <font>
        <b/>
        <i val="0"/>
        <strike val="0"/>
        <color rgb="FFFF0000"/>
      </font>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xmlns="" id="{BBBB867F-E40A-4601-81CB-0A78EFA62A59}"/>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xmlns="" id="{B0B3F3B6-A37B-47AE-A081-0B4D05FF144C}"/>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xmlns="" id="{A83D52DB-5A87-4822-8F96-1C8A09B0A842}"/>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xmlns="" id="{5CFC3A41-E22A-47BB-BDB0-2DBA67144B0D}"/>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xmlns="" id="{9CF1183B-0133-4033-B0CF-ABCAC466BEA9}"/>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xmlns="" id="{6AAAC430-E44F-40DB-9FA4-37B45213020D}"/>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xmlns="" id="{93301FC1-F660-448F-887C-DB0DB154A0B6}"/>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xmlns="" id="{8D2558F5-413C-451B-867D-66498A07B09B}"/>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xmlns="" id="{656EF87E-DE79-466C-82F6-B071EBA33BB7}"/>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xmlns="" id="{C5575BBF-34B8-40C6-96FA-AF825E0427DD}"/>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xmlns="" id="{2E8CB21A-B30D-46BD-9830-40E3418F97F0}"/>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xmlns="" id="{5E586AB9-8EFE-4C7A-8F9B-BD211CD72E0D}"/>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xmlns="" id="{0B760687-C0B5-4B06-810C-40FD5AD35A94}"/>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okansas-my.sharepoint.com/personal/lindsay_a_olson_doa_ks_gov/Documents/Desktop/2024%20Workbooks/2023%20Workbooks%20from%20Website/Uploaded%20to%202024%20Sharepoint/Uploaded%20to%202024%20Sharepoint/City%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PrYr"/>
      <sheetName val="inputOth"/>
      <sheetName val="inputHearing"/>
      <sheetName val="CPA Summary"/>
      <sheetName val="Cert"/>
      <sheetName val="Mvalloc"/>
      <sheetName val="Transfers"/>
      <sheetName val="Transfer Statutes"/>
      <sheetName val="Debt"/>
      <sheetName val="LP Form"/>
      <sheetName val="Library Grant"/>
      <sheetName val="General"/>
      <sheetName val="General Detail"/>
      <sheetName val="DebtSvs-Library"/>
      <sheetName val="Levy Page 9"/>
      <sheetName val="Levy Page 10"/>
      <sheetName val="Spec Hwy"/>
      <sheetName val="No Levy Page 12"/>
      <sheetName val="No Levy Page 13"/>
      <sheetName val="Single No Levy Page 14"/>
      <sheetName val="Non-Budgeted Funds"/>
      <sheetName val="Non-Bud Fund Statutes"/>
      <sheetName val="Budget Hearing Notice"/>
      <sheetName val="Combined Rate-Bud Hearing Notic"/>
      <sheetName val="RNR Hearing Notice"/>
      <sheetName val="NR Rebate"/>
      <sheetName val="SAMPLE Notice to County Clerk"/>
      <sheetName val="SAMPLE Roll Call to Exceed RNR"/>
      <sheetName val="SAMPLE Resolution to Exceed RNR"/>
      <sheetName val="Tab A"/>
      <sheetName val="Tab B"/>
      <sheetName val="Tab C"/>
      <sheetName val="Tab D"/>
      <sheetName val="Tab E"/>
      <sheetName val="Budget Tools"/>
      <sheetName val="Legend"/>
    </sheetNames>
    <sheetDataSet>
      <sheetData sheetId="0"/>
      <sheetData sheetId="1">
        <row r="6">
          <cell r="C6">
            <v>2024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5.bin"/><Relationship Id="rId1" Type="http://schemas.openxmlformats.org/officeDocument/2006/relationships/hyperlink" Target="https://pooledmoneyinvestmentboard.com/"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clerk@dpcountyk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1:B109"/>
  <sheetViews>
    <sheetView zoomScaleNormal="100" workbookViewId="0">
      <selection activeCell="B15" sqref="B15"/>
    </sheetView>
  </sheetViews>
  <sheetFormatPr defaultRowHeight="15.75" x14ac:dyDescent="0.2"/>
  <cols>
    <col min="1" max="1" width="1.21875" style="23" customWidth="1"/>
    <col min="2" max="2" width="84.6640625" style="24" customWidth="1"/>
    <col min="3" max="16384" width="8.88671875" style="23"/>
  </cols>
  <sheetData>
    <row r="1" spans="2:2" ht="39" customHeight="1" x14ac:dyDescent="0.2">
      <c r="B1" s="447" t="s">
        <v>435</v>
      </c>
    </row>
    <row r="2" spans="2:2" ht="12.95" customHeight="1" x14ac:dyDescent="0.2"/>
    <row r="3" spans="2:2" ht="34.5" customHeight="1" x14ac:dyDescent="0.2">
      <c r="B3" s="24" t="s">
        <v>436</v>
      </c>
    </row>
    <row r="4" spans="2:2" ht="12.95" customHeight="1" x14ac:dyDescent="0.2"/>
    <row r="5" spans="2:2" ht="66" customHeight="1" x14ac:dyDescent="0.2">
      <c r="B5" s="24" t="s">
        <v>437</v>
      </c>
    </row>
    <row r="6" spans="2:2" ht="14.45" customHeight="1" x14ac:dyDescent="0.2"/>
    <row r="7" spans="2:2" ht="25.5" customHeight="1" x14ac:dyDescent="0.2">
      <c r="B7" s="448" t="s">
        <v>438</v>
      </c>
    </row>
    <row r="8" spans="2:2" ht="12.95" customHeight="1" x14ac:dyDescent="0.2"/>
    <row r="9" spans="2:2" ht="50.25" x14ac:dyDescent="0.2">
      <c r="B9" s="24" t="s">
        <v>439</v>
      </c>
    </row>
    <row r="10" spans="2:2" ht="12.95" customHeight="1" x14ac:dyDescent="0.2"/>
    <row r="11" spans="2:2" ht="31.5" x14ac:dyDescent="0.2">
      <c r="B11" s="24" t="s">
        <v>440</v>
      </c>
    </row>
    <row r="12" spans="2:2" ht="15" customHeight="1" x14ac:dyDescent="0.2"/>
    <row r="13" spans="2:2" ht="25.5" customHeight="1" x14ac:dyDescent="0.2">
      <c r="B13" s="448" t="s">
        <v>441</v>
      </c>
    </row>
    <row r="14" spans="2:2" ht="12.95" customHeight="1" x14ac:dyDescent="0.2"/>
    <row r="15" spans="2:2" ht="39.75" customHeight="1" x14ac:dyDescent="0.2">
      <c r="B15" s="24" t="s">
        <v>442</v>
      </c>
    </row>
    <row r="16" spans="2:2" ht="12.95" customHeight="1" x14ac:dyDescent="0.2"/>
    <row r="17" spans="2:2" x14ac:dyDescent="0.2">
      <c r="B17" s="449" t="s">
        <v>443</v>
      </c>
    </row>
    <row r="18" spans="2:2" ht="12.95" customHeight="1" x14ac:dyDescent="0.2">
      <c r="B18" s="449"/>
    </row>
    <row r="19" spans="2:2" x14ac:dyDescent="0.2">
      <c r="B19" s="24" t="s">
        <v>444</v>
      </c>
    </row>
    <row r="20" spans="2:2" ht="12.95" customHeight="1" x14ac:dyDescent="0.2"/>
    <row r="21" spans="2:2" ht="67.5" customHeight="1" x14ac:dyDescent="0.2">
      <c r="B21" s="24" t="s">
        <v>445</v>
      </c>
    </row>
    <row r="22" spans="2:2" ht="12.95" customHeight="1" x14ac:dyDescent="0.2">
      <c r="B22" s="450"/>
    </row>
    <row r="23" spans="2:2" ht="15.75" customHeight="1" x14ac:dyDescent="0.2">
      <c r="B23" s="24" t="s">
        <v>446</v>
      </c>
    </row>
    <row r="24" spans="2:2" ht="12.95" customHeight="1" x14ac:dyDescent="0.2">
      <c r="B24" s="450"/>
    </row>
    <row r="25" spans="2:2" ht="15.75" customHeight="1" x14ac:dyDescent="0.2">
      <c r="B25" s="24" t="s">
        <v>447</v>
      </c>
    </row>
    <row r="26" spans="2:2" ht="12.95" customHeight="1" x14ac:dyDescent="0.2"/>
    <row r="27" spans="2:2" ht="49.5" customHeight="1" x14ac:dyDescent="0.2">
      <c r="B27" s="24" t="s">
        <v>448</v>
      </c>
    </row>
    <row r="28" spans="2:2" ht="12.95" customHeight="1" x14ac:dyDescent="0.2"/>
    <row r="29" spans="2:2" ht="25.5" customHeight="1" x14ac:dyDescent="0.2">
      <c r="B29" s="448" t="s">
        <v>449</v>
      </c>
    </row>
    <row r="30" spans="2:2" ht="12.95" customHeight="1" x14ac:dyDescent="0.2">
      <c r="B30" s="451"/>
    </row>
    <row r="31" spans="2:2" ht="50.25" customHeight="1" x14ac:dyDescent="0.2">
      <c r="B31" s="24" t="s">
        <v>450</v>
      </c>
    </row>
    <row r="32" spans="2:2" ht="12.95" customHeight="1" x14ac:dyDescent="0.2"/>
    <row r="33" spans="2:2" ht="49.5" customHeight="1" x14ac:dyDescent="0.2">
      <c r="B33" s="218" t="s">
        <v>451</v>
      </c>
    </row>
    <row r="34" spans="2:2" ht="39.75" customHeight="1" x14ac:dyDescent="0.2">
      <c r="B34" s="452" t="s">
        <v>452</v>
      </c>
    </row>
    <row r="35" spans="2:2" ht="60.75" customHeight="1" x14ac:dyDescent="0.2">
      <c r="B35" s="452" t="s">
        <v>453</v>
      </c>
    </row>
    <row r="36" spans="2:2" ht="61.5" customHeight="1" x14ac:dyDescent="0.2">
      <c r="B36" s="452" t="s">
        <v>454</v>
      </c>
    </row>
    <row r="37" spans="2:2" ht="41.25" customHeight="1" x14ac:dyDescent="0.2">
      <c r="B37" s="452" t="s">
        <v>455</v>
      </c>
    </row>
    <row r="38" spans="2:2" ht="12.95" customHeight="1" x14ac:dyDescent="0.2"/>
    <row r="39" spans="2:2" ht="52.5" customHeight="1" x14ac:dyDescent="0.2">
      <c r="B39" s="218" t="s">
        <v>456</v>
      </c>
    </row>
    <row r="40" spans="2:2" ht="27.75" customHeight="1" x14ac:dyDescent="0.2">
      <c r="B40" s="452" t="s">
        <v>457</v>
      </c>
    </row>
    <row r="41" spans="2:2" ht="57" customHeight="1" x14ac:dyDescent="0.2">
      <c r="B41" s="452" t="s">
        <v>458</v>
      </c>
    </row>
    <row r="42" spans="2:2" ht="105" customHeight="1" x14ac:dyDescent="0.2">
      <c r="B42" s="452" t="s">
        <v>459</v>
      </c>
    </row>
    <row r="43" spans="2:2" s="24" customFormat="1" ht="12.95" customHeight="1" x14ac:dyDescent="0.2"/>
    <row r="44" spans="2:2" ht="47.25" x14ac:dyDescent="0.2">
      <c r="B44" s="218" t="s">
        <v>460</v>
      </c>
    </row>
    <row r="45" spans="2:2" ht="66.75" customHeight="1" x14ac:dyDescent="0.2">
      <c r="B45" s="218" t="s">
        <v>461</v>
      </c>
    </row>
    <row r="46" spans="2:2" ht="72.75" customHeight="1" x14ac:dyDescent="0.2">
      <c r="B46" s="452" t="s">
        <v>462</v>
      </c>
    </row>
    <row r="47" spans="2:2" ht="108" customHeight="1" x14ac:dyDescent="0.2">
      <c r="B47" s="452" t="s">
        <v>463</v>
      </c>
    </row>
    <row r="48" spans="2:2" ht="95.25" customHeight="1" x14ac:dyDescent="0.2">
      <c r="B48" s="452" t="s">
        <v>464</v>
      </c>
    </row>
    <row r="49" spans="2:2" ht="12.95" customHeight="1" x14ac:dyDescent="0.2"/>
    <row r="50" spans="2:2" ht="47.25" x14ac:dyDescent="0.2">
      <c r="B50" s="218" t="s">
        <v>465</v>
      </c>
    </row>
    <row r="51" spans="2:2" ht="38.25" customHeight="1" x14ac:dyDescent="0.2">
      <c r="B51" s="452" t="s">
        <v>466</v>
      </c>
    </row>
    <row r="52" spans="2:2" ht="34.5" customHeight="1" x14ac:dyDescent="0.2">
      <c r="B52" s="452" t="s">
        <v>467</v>
      </c>
    </row>
    <row r="53" spans="2:2" ht="12.95" customHeight="1" x14ac:dyDescent="0.2"/>
    <row r="54" spans="2:2" ht="71.25" customHeight="1" x14ac:dyDescent="0.2">
      <c r="B54" s="218" t="s">
        <v>468</v>
      </c>
    </row>
    <row r="55" spans="2:2" ht="21.75" customHeight="1" x14ac:dyDescent="0.2">
      <c r="B55" s="452" t="s">
        <v>469</v>
      </c>
    </row>
    <row r="56" spans="2:2" ht="12.95" customHeight="1" x14ac:dyDescent="0.2">
      <c r="B56" s="453"/>
    </row>
    <row r="57" spans="2:2" ht="57.75" customHeight="1" x14ac:dyDescent="0.2">
      <c r="B57" s="218" t="s">
        <v>470</v>
      </c>
    </row>
    <row r="58" spans="2:2" ht="41.25" customHeight="1" x14ac:dyDescent="0.2">
      <c r="B58" s="452" t="s">
        <v>471</v>
      </c>
    </row>
    <row r="59" spans="2:2" ht="72" customHeight="1" x14ac:dyDescent="0.2">
      <c r="B59" s="452" t="s">
        <v>472</v>
      </c>
    </row>
    <row r="60" spans="2:2" ht="27" customHeight="1" x14ac:dyDescent="0.2">
      <c r="B60" s="452" t="s">
        <v>473</v>
      </c>
    </row>
    <row r="61" spans="2:2" ht="44.25" customHeight="1" x14ac:dyDescent="0.2">
      <c r="B61" s="452" t="s">
        <v>474</v>
      </c>
    </row>
    <row r="62" spans="2:2" ht="12.95" customHeight="1" x14ac:dyDescent="0.2"/>
    <row r="63" spans="2:2" ht="38.25" customHeight="1" x14ac:dyDescent="0.2">
      <c r="B63" s="218" t="s">
        <v>475</v>
      </c>
    </row>
    <row r="64" spans="2:2" s="454" customFormat="1" ht="30.75" customHeight="1" x14ac:dyDescent="0.2">
      <c r="B64" s="452" t="s">
        <v>476</v>
      </c>
    </row>
    <row r="65" spans="2:2" ht="12.95" customHeight="1" x14ac:dyDescent="0.2"/>
    <row r="66" spans="2:2" ht="52.5" customHeight="1" x14ac:dyDescent="0.2">
      <c r="B66" s="218" t="s">
        <v>477</v>
      </c>
    </row>
    <row r="67" spans="2:2" s="454" customFormat="1" ht="39.75" customHeight="1" x14ac:dyDescent="0.2">
      <c r="B67" s="452" t="s">
        <v>478</v>
      </c>
    </row>
    <row r="68" spans="2:2" ht="12.95" customHeight="1" x14ac:dyDescent="0.2"/>
    <row r="69" spans="2:2" ht="68.25" customHeight="1" x14ac:dyDescent="0.2">
      <c r="B69" s="218" t="s">
        <v>479</v>
      </c>
    </row>
    <row r="70" spans="2:2" ht="57" customHeight="1" x14ac:dyDescent="0.2">
      <c r="B70" s="452" t="s">
        <v>480</v>
      </c>
    </row>
    <row r="71" spans="2:2" ht="44.25" customHeight="1" x14ac:dyDescent="0.2">
      <c r="B71" s="452" t="s">
        <v>481</v>
      </c>
    </row>
    <row r="72" spans="2:2" ht="12.95" customHeight="1" x14ac:dyDescent="0.2"/>
    <row r="73" spans="2:2" ht="78.75" x14ac:dyDescent="0.2">
      <c r="B73" s="218" t="s">
        <v>482</v>
      </c>
    </row>
    <row r="74" spans="2:2" ht="72.75" customHeight="1" x14ac:dyDescent="0.2">
      <c r="B74" s="452" t="s">
        <v>483</v>
      </c>
    </row>
    <row r="75" spans="2:2" ht="90" customHeight="1" x14ac:dyDescent="0.2">
      <c r="B75" s="452" t="s">
        <v>484</v>
      </c>
    </row>
    <row r="76" spans="2:2" ht="70.5" customHeight="1" x14ac:dyDescent="0.2">
      <c r="B76" s="452" t="s">
        <v>485</v>
      </c>
    </row>
    <row r="77" spans="2:2" ht="87" customHeight="1" x14ac:dyDescent="0.2">
      <c r="B77" s="452" t="s">
        <v>486</v>
      </c>
    </row>
    <row r="78" spans="2:2" ht="110.25" x14ac:dyDescent="0.2">
      <c r="B78" s="452" t="s">
        <v>487</v>
      </c>
    </row>
    <row r="79" spans="2:2" ht="55.5" customHeight="1" x14ac:dyDescent="0.2">
      <c r="B79" s="452" t="s">
        <v>488</v>
      </c>
    </row>
    <row r="80" spans="2:2" ht="96.75" customHeight="1" x14ac:dyDescent="0.2">
      <c r="B80" s="452" t="s">
        <v>489</v>
      </c>
    </row>
    <row r="81" spans="2:2" ht="111.75" customHeight="1" x14ac:dyDescent="0.2">
      <c r="B81" s="452" t="s">
        <v>490</v>
      </c>
    </row>
    <row r="82" spans="2:2" ht="123.75" customHeight="1" x14ac:dyDescent="0.2">
      <c r="B82" s="452" t="s">
        <v>491</v>
      </c>
    </row>
    <row r="83" spans="2:2" ht="26.25" customHeight="1" x14ac:dyDescent="0.2">
      <c r="B83" s="452" t="s">
        <v>492</v>
      </c>
    </row>
    <row r="84" spans="2:2" ht="57.75" customHeight="1" x14ac:dyDescent="0.2">
      <c r="B84" s="452" t="s">
        <v>493</v>
      </c>
    </row>
    <row r="85" spans="2:2" ht="57.75" customHeight="1" x14ac:dyDescent="0.2">
      <c r="B85" s="452" t="s">
        <v>494</v>
      </c>
    </row>
    <row r="86" spans="2:2" ht="91.5" customHeight="1" x14ac:dyDescent="0.2">
      <c r="B86" s="452" t="s">
        <v>495</v>
      </c>
    </row>
    <row r="87" spans="2:2" ht="75" customHeight="1" x14ac:dyDescent="0.2">
      <c r="B87" s="452" t="s">
        <v>496</v>
      </c>
    </row>
    <row r="88" spans="2:2" ht="69" customHeight="1" x14ac:dyDescent="0.2">
      <c r="B88" s="452" t="s">
        <v>497</v>
      </c>
    </row>
    <row r="89" spans="2:2" ht="39" customHeight="1" x14ac:dyDescent="0.2">
      <c r="B89" s="452" t="s">
        <v>498</v>
      </c>
    </row>
    <row r="90" spans="2:2" ht="12.95" customHeight="1" x14ac:dyDescent="0.2"/>
    <row r="91" spans="2:2" ht="63" x14ac:dyDescent="0.2">
      <c r="B91" s="218" t="s">
        <v>499</v>
      </c>
    </row>
    <row r="92" spans="2:2" ht="75.75" customHeight="1" x14ac:dyDescent="0.2">
      <c r="B92" s="452" t="s">
        <v>500</v>
      </c>
    </row>
    <row r="93" spans="2:2" ht="23.25" customHeight="1" x14ac:dyDescent="0.2">
      <c r="B93" s="452" t="s">
        <v>501</v>
      </c>
    </row>
    <row r="94" spans="2:2" ht="27" customHeight="1" x14ac:dyDescent="0.2">
      <c r="B94" s="452" t="s">
        <v>502</v>
      </c>
    </row>
    <row r="95" spans="2:2" ht="42" customHeight="1" x14ac:dyDescent="0.2">
      <c r="B95" s="455" t="s">
        <v>503</v>
      </c>
    </row>
    <row r="96" spans="2:2" ht="108" customHeight="1" x14ac:dyDescent="0.2">
      <c r="B96" s="455" t="s">
        <v>504</v>
      </c>
    </row>
    <row r="97" spans="2:2" ht="88.5" customHeight="1" x14ac:dyDescent="0.2">
      <c r="B97" s="455" t="s">
        <v>505</v>
      </c>
    </row>
    <row r="98" spans="2:2" ht="98.25" customHeight="1" x14ac:dyDescent="0.2">
      <c r="B98" s="452" t="s">
        <v>506</v>
      </c>
    </row>
    <row r="99" spans="2:2" ht="68.25" customHeight="1" x14ac:dyDescent="0.2">
      <c r="B99" s="452" t="s">
        <v>507</v>
      </c>
    </row>
    <row r="100" spans="2:2" ht="12.95" customHeight="1" x14ac:dyDescent="0.2"/>
    <row r="101" spans="2:2" ht="94.5" x14ac:dyDescent="0.2">
      <c r="B101" s="218" t="s">
        <v>508</v>
      </c>
    </row>
    <row r="102" spans="2:2" ht="78.75" x14ac:dyDescent="0.2">
      <c r="B102" s="456" t="s">
        <v>509</v>
      </c>
    </row>
    <row r="103" spans="2:2" ht="63" x14ac:dyDescent="0.2">
      <c r="B103" s="452" t="s">
        <v>510</v>
      </c>
    </row>
    <row r="104" spans="2:2" ht="39.75" customHeight="1" x14ac:dyDescent="0.2">
      <c r="B104" s="452" t="s">
        <v>511</v>
      </c>
    </row>
    <row r="105" spans="2:2" ht="12.95" customHeight="1" x14ac:dyDescent="0.2">
      <c r="B105" s="23"/>
    </row>
    <row r="106" spans="2:2" ht="47.25" x14ac:dyDescent="0.2">
      <c r="B106" s="218" t="s">
        <v>512</v>
      </c>
    </row>
    <row r="107" spans="2:2" ht="12.95" customHeight="1" x14ac:dyDescent="0.2">
      <c r="B107" s="23"/>
    </row>
    <row r="108" spans="2:2" ht="47.25" x14ac:dyDescent="0.2">
      <c r="B108" s="218" t="s">
        <v>513</v>
      </c>
    </row>
    <row r="109" spans="2:2" x14ac:dyDescent="0.2">
      <c r="B109" s="23"/>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48"/>
  <sheetViews>
    <sheetView workbookViewId="0">
      <selection activeCell="B15" sqref="B15"/>
    </sheetView>
  </sheetViews>
  <sheetFormatPr defaultRowHeight="15" x14ac:dyDescent="0.2"/>
  <cols>
    <col min="1" max="1" width="70.44140625" style="75" customWidth="1"/>
    <col min="2" max="16384" width="8.88671875" style="75"/>
  </cols>
  <sheetData>
    <row r="1" spans="1:7" ht="30" customHeight="1" x14ac:dyDescent="0.3">
      <c r="A1" s="255" t="s">
        <v>206</v>
      </c>
      <c r="B1" s="254"/>
      <c r="C1" s="254"/>
      <c r="D1" s="254"/>
      <c r="E1" s="254"/>
      <c r="F1" s="254"/>
      <c r="G1" s="254"/>
    </row>
    <row r="2" spans="1:7" ht="15.75" customHeight="1" x14ac:dyDescent="0.25">
      <c r="A2" s="2"/>
    </row>
    <row r="3" spans="1:7" ht="54" customHeight="1" x14ac:dyDescent="0.25">
      <c r="A3" s="253" t="s">
        <v>273</v>
      </c>
    </row>
    <row r="4" spans="1:7" ht="15.75" customHeight="1" x14ac:dyDescent="0.25">
      <c r="A4" s="2"/>
    </row>
    <row r="5" spans="1:7" ht="52.5" customHeight="1" x14ac:dyDescent="0.25">
      <c r="A5" s="253" t="s">
        <v>274</v>
      </c>
    </row>
    <row r="6" spans="1:7" ht="15.75" customHeight="1" x14ac:dyDescent="0.25">
      <c r="A6" s="2"/>
    </row>
    <row r="7" spans="1:7" s="251" customFormat="1" ht="45.75" customHeight="1" x14ac:dyDescent="0.25">
      <c r="A7" s="252" t="s">
        <v>228</v>
      </c>
    </row>
    <row r="8" spans="1:7" ht="15.75" customHeight="1" x14ac:dyDescent="0.25">
      <c r="A8" s="2"/>
    </row>
    <row r="9" spans="1:7" ht="46.5" customHeight="1" x14ac:dyDescent="0.25">
      <c r="A9" s="252" t="s">
        <v>229</v>
      </c>
    </row>
    <row r="10" spans="1:7" ht="15.75" customHeight="1" x14ac:dyDescent="0.2"/>
    <row r="11" spans="1:7" ht="45.75" customHeight="1" x14ac:dyDescent="0.25">
      <c r="A11" s="252" t="s">
        <v>230</v>
      </c>
    </row>
    <row r="12" spans="1:7" ht="15.75" customHeight="1" x14ac:dyDescent="0.25">
      <c r="A12" s="2"/>
    </row>
    <row r="13" spans="1:7" ht="62.25" customHeight="1" x14ac:dyDescent="0.25">
      <c r="A13" s="252" t="s">
        <v>231</v>
      </c>
    </row>
    <row r="14" spans="1:7" ht="15.75" customHeight="1" x14ac:dyDescent="0.25">
      <c r="A14" s="2"/>
    </row>
    <row r="15" spans="1:7" ht="32.25" customHeight="1" x14ac:dyDescent="0.25">
      <c r="A15" s="252" t="s">
        <v>232</v>
      </c>
    </row>
    <row r="16" spans="1:7" ht="15.75" customHeight="1" x14ac:dyDescent="0.2"/>
    <row r="17" spans="1:1" ht="67.5" customHeight="1" x14ac:dyDescent="0.25">
      <c r="A17" s="250" t="s">
        <v>275</v>
      </c>
    </row>
    <row r="18" spans="1:1" ht="15.75" customHeight="1" x14ac:dyDescent="0.2"/>
    <row r="19" spans="1:1" ht="81" customHeight="1" x14ac:dyDescent="0.25">
      <c r="A19" s="250" t="s">
        <v>233</v>
      </c>
    </row>
    <row r="20" spans="1:1" ht="15.75" customHeight="1" x14ac:dyDescent="0.25">
      <c r="A20" s="2"/>
    </row>
    <row r="21" spans="1:1" ht="78" customHeight="1" x14ac:dyDescent="0.25">
      <c r="A21" s="252" t="s">
        <v>234</v>
      </c>
    </row>
    <row r="22" spans="1:1" ht="15.75" customHeight="1" x14ac:dyDescent="0.25">
      <c r="A22" s="2"/>
    </row>
    <row r="23" spans="1:1" ht="44.25" customHeight="1" x14ac:dyDescent="0.25">
      <c r="A23" s="252" t="s">
        <v>235</v>
      </c>
    </row>
    <row r="24" spans="1:1" ht="15.75" customHeight="1" x14ac:dyDescent="0.2"/>
    <row r="25" spans="1:1" ht="53.25" customHeight="1" x14ac:dyDescent="0.25">
      <c r="A25" s="250" t="s">
        <v>236</v>
      </c>
    </row>
    <row r="26" spans="1:1" ht="16.5" customHeight="1" x14ac:dyDescent="0.25">
      <c r="A26" s="2"/>
    </row>
    <row r="27" spans="1:1" ht="40.5" customHeight="1" x14ac:dyDescent="0.25">
      <c r="A27" s="253" t="s">
        <v>276</v>
      </c>
    </row>
    <row r="28" spans="1:1" ht="16.5" customHeight="1" x14ac:dyDescent="0.25">
      <c r="A28" s="2"/>
    </row>
    <row r="29" spans="1:1" ht="69.75" customHeight="1" x14ac:dyDescent="0.25">
      <c r="A29" s="252" t="s">
        <v>237</v>
      </c>
    </row>
    <row r="30" spans="1:1" ht="15.75" customHeight="1" x14ac:dyDescent="0.25">
      <c r="A30" s="2"/>
    </row>
    <row r="31" spans="1:1" ht="79.5" customHeight="1" x14ac:dyDescent="0.25">
      <c r="A31" s="252" t="s">
        <v>300</v>
      </c>
    </row>
    <row r="32" spans="1:1" ht="15.75" customHeight="1" x14ac:dyDescent="0.25">
      <c r="A32" s="2"/>
    </row>
    <row r="33" spans="1:1" ht="58.5" customHeight="1" x14ac:dyDescent="0.25">
      <c r="A33" s="252" t="s">
        <v>238</v>
      </c>
    </row>
    <row r="35" spans="1:1" ht="60.75" customHeight="1" x14ac:dyDescent="0.25">
      <c r="A35" s="252" t="s">
        <v>239</v>
      </c>
    </row>
    <row r="36" spans="1:1" ht="15.75" x14ac:dyDescent="0.25">
      <c r="A36" s="2"/>
    </row>
    <row r="37" spans="1:1" ht="82.5" customHeight="1" x14ac:dyDescent="0.25">
      <c r="A37" s="252" t="s">
        <v>240</v>
      </c>
    </row>
    <row r="38" spans="1:1" ht="15.75" x14ac:dyDescent="0.25">
      <c r="A38" s="249"/>
    </row>
    <row r="39" spans="1:1" ht="15.75" x14ac:dyDescent="0.25">
      <c r="A39" s="249"/>
    </row>
    <row r="41" spans="1:1" ht="15.75" x14ac:dyDescent="0.25">
      <c r="A41" s="249"/>
    </row>
    <row r="42" spans="1:1" ht="15.75" x14ac:dyDescent="0.25">
      <c r="A42" s="249"/>
    </row>
    <row r="44" spans="1:1" ht="15.75" x14ac:dyDescent="0.25">
      <c r="A44" s="2"/>
    </row>
    <row r="45" spans="1:1" ht="15.75" x14ac:dyDescent="0.25">
      <c r="A45" s="249"/>
    </row>
    <row r="47" spans="1:1" ht="15.75" x14ac:dyDescent="0.25">
      <c r="A47" s="249"/>
    </row>
    <row r="48" spans="1:1" ht="15.75" x14ac:dyDescent="0.25">
      <c r="A48" s="249"/>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B42"/>
  <sheetViews>
    <sheetView zoomScale="80" zoomScaleNormal="80" workbookViewId="0">
      <selection activeCell="B15" sqref="B15"/>
    </sheetView>
  </sheetViews>
  <sheetFormatPr defaultRowHeight="15.75" x14ac:dyDescent="0.2"/>
  <cols>
    <col min="1" max="1" width="20.77734375" style="56" customWidth="1"/>
    <col min="2" max="2" width="9.44140625" style="56" customWidth="1"/>
    <col min="3" max="3" width="9.77734375" style="56" customWidth="1"/>
    <col min="4" max="4" width="8.77734375" style="56" customWidth="1"/>
    <col min="5" max="5" width="12.77734375" style="56" customWidth="1"/>
    <col min="6" max="6" width="14.44140625" style="56" customWidth="1"/>
    <col min="7" max="12" width="9.77734375" style="56" customWidth="1"/>
    <col min="13" max="16384" width="8.88671875" style="56"/>
  </cols>
  <sheetData>
    <row r="1" spans="1:12" x14ac:dyDescent="0.2">
      <c r="A1" s="57" t="str">
        <f>inputPrYr!$C$3</f>
        <v>Doniphan County</v>
      </c>
      <c r="B1" s="26"/>
      <c r="C1" s="26"/>
      <c r="D1" s="26"/>
      <c r="E1" s="26"/>
      <c r="F1" s="26"/>
      <c r="G1" s="26"/>
      <c r="H1" s="26"/>
      <c r="I1" s="26"/>
      <c r="J1" s="26"/>
      <c r="K1" s="26"/>
      <c r="L1" s="98">
        <f>inputPrYr!$C$5</f>
        <v>2024</v>
      </c>
    </row>
    <row r="2" spans="1:12" x14ac:dyDescent="0.2">
      <c r="A2" s="57"/>
      <c r="B2" s="26"/>
      <c r="C2" s="26"/>
      <c r="D2" s="26"/>
      <c r="E2" s="26"/>
      <c r="F2" s="26"/>
      <c r="G2" s="26"/>
      <c r="H2" s="26"/>
      <c r="I2" s="26"/>
      <c r="J2" s="26"/>
      <c r="K2" s="26"/>
      <c r="L2" s="90"/>
    </row>
    <row r="3" spans="1:12" x14ac:dyDescent="0.2">
      <c r="A3" s="615" t="s">
        <v>174</v>
      </c>
      <c r="B3" s="615"/>
      <c r="C3" s="615"/>
      <c r="D3" s="615"/>
      <c r="E3" s="615"/>
      <c r="F3" s="615"/>
      <c r="G3" s="615"/>
      <c r="H3" s="615"/>
      <c r="I3" s="615"/>
      <c r="J3" s="615"/>
      <c r="K3" s="615"/>
      <c r="L3" s="615"/>
    </row>
    <row r="4" spans="1:12" x14ac:dyDescent="0.2">
      <c r="A4" s="26"/>
      <c r="B4" s="100"/>
      <c r="C4" s="100"/>
      <c r="D4" s="100"/>
      <c r="E4" s="100"/>
      <c r="F4" s="100"/>
      <c r="G4" s="100"/>
      <c r="H4" s="100"/>
      <c r="I4" s="100"/>
      <c r="J4" s="100"/>
      <c r="K4" s="100"/>
      <c r="L4" s="100"/>
    </row>
    <row r="5" spans="1:12" x14ac:dyDescent="0.2">
      <c r="A5" s="616" t="s">
        <v>515</v>
      </c>
      <c r="B5" s="619" t="s">
        <v>516</v>
      </c>
      <c r="C5" s="619" t="s">
        <v>517</v>
      </c>
      <c r="D5" s="619" t="s">
        <v>518</v>
      </c>
      <c r="E5" s="619" t="s">
        <v>522</v>
      </c>
      <c r="F5" s="622" t="str">
        <f>CONCATENATE("Beginning Amount Outstanding Jan 1, ",L1-1,"")</f>
        <v>Beginning Amount Outstanding Jan 1, 2023</v>
      </c>
      <c r="G5" s="625" t="s">
        <v>147</v>
      </c>
      <c r="H5" s="626"/>
      <c r="I5" s="625" t="str">
        <f>CONCATENATE("Amount Due ",L1-1,"")</f>
        <v>Amount Due 2023</v>
      </c>
      <c r="J5" s="626"/>
      <c r="K5" s="625" t="str">
        <f>CONCATENATE("Amount Due ",L1,"")</f>
        <v>Amount Due 2024</v>
      </c>
      <c r="L5" s="626"/>
    </row>
    <row r="6" spans="1:12" x14ac:dyDescent="0.2">
      <c r="A6" s="617"/>
      <c r="B6" s="620"/>
      <c r="C6" s="620"/>
      <c r="D6" s="620"/>
      <c r="E6" s="620"/>
      <c r="F6" s="623"/>
      <c r="G6" s="627"/>
      <c r="H6" s="628"/>
      <c r="I6" s="627"/>
      <c r="J6" s="628"/>
      <c r="K6" s="627"/>
      <c r="L6" s="628"/>
    </row>
    <row r="7" spans="1:12" x14ac:dyDescent="0.2">
      <c r="A7" s="618"/>
      <c r="B7" s="621"/>
      <c r="C7" s="621"/>
      <c r="D7" s="621"/>
      <c r="E7" s="621"/>
      <c r="F7" s="624"/>
      <c r="G7" s="96" t="s">
        <v>155</v>
      </c>
      <c r="H7" s="96" t="s">
        <v>156</v>
      </c>
      <c r="I7" s="96" t="s">
        <v>155</v>
      </c>
      <c r="J7" s="96" t="s">
        <v>156</v>
      </c>
      <c r="K7" s="96" t="s">
        <v>155</v>
      </c>
      <c r="L7" s="96" t="s">
        <v>156</v>
      </c>
    </row>
    <row r="8" spans="1:12" x14ac:dyDescent="0.2">
      <c r="A8" s="103" t="s">
        <v>148</v>
      </c>
      <c r="B8" s="38"/>
      <c r="C8" s="38"/>
      <c r="D8" s="105"/>
      <c r="E8" s="106"/>
      <c r="F8" s="106"/>
      <c r="G8" s="38"/>
      <c r="H8" s="38"/>
      <c r="I8" s="106"/>
      <c r="J8" s="106"/>
      <c r="K8" s="106"/>
      <c r="L8" s="106"/>
    </row>
    <row r="9" spans="1:12" x14ac:dyDescent="0.2">
      <c r="A9" s="107"/>
      <c r="B9" s="227"/>
      <c r="C9" s="227"/>
      <c r="D9" s="108"/>
      <c r="E9" s="109"/>
      <c r="F9" s="110"/>
      <c r="G9" s="111"/>
      <c r="H9" s="111"/>
      <c r="I9" s="110"/>
      <c r="J9" s="110"/>
      <c r="K9" s="110"/>
      <c r="L9" s="110"/>
    </row>
    <row r="10" spans="1:12" x14ac:dyDescent="0.2">
      <c r="A10" s="107"/>
      <c r="B10" s="227"/>
      <c r="C10" s="227"/>
      <c r="D10" s="108"/>
      <c r="E10" s="109"/>
      <c r="F10" s="110"/>
      <c r="G10" s="111"/>
      <c r="H10" s="111"/>
      <c r="I10" s="110"/>
      <c r="J10" s="110"/>
      <c r="K10" s="110"/>
      <c r="L10" s="110"/>
    </row>
    <row r="11" spans="1:12" x14ac:dyDescent="0.2">
      <c r="A11" s="107"/>
      <c r="B11" s="227"/>
      <c r="C11" s="227"/>
      <c r="D11" s="108"/>
      <c r="E11" s="109"/>
      <c r="F11" s="110"/>
      <c r="G11" s="111"/>
      <c r="H11" s="111"/>
      <c r="I11" s="110"/>
      <c r="J11" s="110"/>
      <c r="K11" s="110"/>
      <c r="L11" s="110"/>
    </row>
    <row r="12" spans="1:12" x14ac:dyDescent="0.2">
      <c r="A12" s="107"/>
      <c r="B12" s="227"/>
      <c r="C12" s="227"/>
      <c r="D12" s="108"/>
      <c r="E12" s="109"/>
      <c r="F12" s="110"/>
      <c r="G12" s="111"/>
      <c r="H12" s="111"/>
      <c r="I12" s="110"/>
      <c r="J12" s="110"/>
      <c r="K12" s="110"/>
      <c r="L12" s="110"/>
    </row>
    <row r="13" spans="1:12" x14ac:dyDescent="0.2">
      <c r="A13" s="107"/>
      <c r="B13" s="227"/>
      <c r="C13" s="227"/>
      <c r="D13" s="108"/>
      <c r="E13" s="109"/>
      <c r="F13" s="110"/>
      <c r="G13" s="111"/>
      <c r="H13" s="111"/>
      <c r="I13" s="110"/>
      <c r="J13" s="110"/>
      <c r="K13" s="110"/>
      <c r="L13" s="110"/>
    </row>
    <row r="14" spans="1:12" x14ac:dyDescent="0.2">
      <c r="A14" s="107"/>
      <c r="B14" s="227"/>
      <c r="C14" s="227"/>
      <c r="D14" s="108"/>
      <c r="E14" s="109"/>
      <c r="F14" s="110"/>
      <c r="G14" s="111"/>
      <c r="H14" s="111"/>
      <c r="I14" s="110"/>
      <c r="J14" s="110"/>
      <c r="K14" s="110"/>
      <c r="L14" s="110"/>
    </row>
    <row r="15" spans="1:12" x14ac:dyDescent="0.2">
      <c r="A15" s="107"/>
      <c r="B15" s="227"/>
      <c r="C15" s="227"/>
      <c r="D15" s="108"/>
      <c r="E15" s="109"/>
      <c r="F15" s="110"/>
      <c r="G15" s="111"/>
      <c r="H15" s="111"/>
      <c r="I15" s="110"/>
      <c r="J15" s="110"/>
      <c r="K15" s="110"/>
      <c r="L15" s="110"/>
    </row>
    <row r="16" spans="1:12" x14ac:dyDescent="0.2">
      <c r="A16" s="107"/>
      <c r="B16" s="227"/>
      <c r="C16" s="227"/>
      <c r="D16" s="108"/>
      <c r="E16" s="109"/>
      <c r="F16" s="110"/>
      <c r="G16" s="111"/>
      <c r="H16" s="111"/>
      <c r="I16" s="110"/>
      <c r="J16" s="110"/>
      <c r="K16" s="110"/>
      <c r="L16" s="110"/>
    </row>
    <row r="17" spans="1:12" x14ac:dyDescent="0.2">
      <c r="A17" s="107"/>
      <c r="B17" s="227"/>
      <c r="C17" s="227"/>
      <c r="D17" s="108"/>
      <c r="E17" s="109"/>
      <c r="F17" s="110"/>
      <c r="G17" s="111"/>
      <c r="H17" s="111"/>
      <c r="I17" s="110"/>
      <c r="J17" s="110"/>
      <c r="K17" s="110"/>
      <c r="L17" s="110"/>
    </row>
    <row r="18" spans="1:12" x14ac:dyDescent="0.2">
      <c r="A18" s="107"/>
      <c r="B18" s="227"/>
      <c r="C18" s="227"/>
      <c r="D18" s="108"/>
      <c r="E18" s="109"/>
      <c r="F18" s="110"/>
      <c r="G18" s="111"/>
      <c r="H18" s="111"/>
      <c r="I18" s="110"/>
      <c r="J18" s="110"/>
      <c r="K18" s="110"/>
      <c r="L18" s="110"/>
    </row>
    <row r="19" spans="1:12" x14ac:dyDescent="0.2">
      <c r="A19" s="112" t="s">
        <v>149</v>
      </c>
      <c r="B19" s="113"/>
      <c r="C19" s="113"/>
      <c r="D19" s="114"/>
      <c r="E19" s="115"/>
      <c r="F19" s="115">
        <f>SUM(F9:F18)</f>
        <v>0</v>
      </c>
      <c r="G19" s="116"/>
      <c r="H19" s="116"/>
      <c r="I19" s="115">
        <f>SUM(I9:I18)</f>
        <v>0</v>
      </c>
      <c r="J19" s="115">
        <f>SUM(J9:J18)</f>
        <v>0</v>
      </c>
      <c r="K19" s="115">
        <f>SUM(K9:K18)</f>
        <v>0</v>
      </c>
      <c r="L19" s="115">
        <f>SUM(L9:L18)</f>
        <v>0</v>
      </c>
    </row>
    <row r="20" spans="1:12" x14ac:dyDescent="0.2">
      <c r="A20" s="96" t="s">
        <v>150</v>
      </c>
      <c r="B20" s="117"/>
      <c r="C20" s="117"/>
      <c r="D20" s="118"/>
      <c r="E20" s="119"/>
      <c r="F20" s="119"/>
      <c r="G20" s="120"/>
      <c r="H20" s="120"/>
      <c r="I20" s="119"/>
      <c r="J20" s="119"/>
      <c r="K20" s="119"/>
      <c r="L20" s="119"/>
    </row>
    <row r="21" spans="1:12" x14ac:dyDescent="0.2">
      <c r="A21" s="107"/>
      <c r="B21" s="227"/>
      <c r="C21" s="227"/>
      <c r="D21" s="108"/>
      <c r="E21" s="109"/>
      <c r="F21" s="110"/>
      <c r="G21" s="111"/>
      <c r="H21" s="111"/>
      <c r="I21" s="110"/>
      <c r="J21" s="110"/>
      <c r="K21" s="110"/>
      <c r="L21" s="110"/>
    </row>
    <row r="22" spans="1:12" x14ac:dyDescent="0.2">
      <c r="A22" s="107"/>
      <c r="B22" s="227"/>
      <c r="C22" s="227"/>
      <c r="D22" s="108"/>
      <c r="E22" s="109"/>
      <c r="F22" s="110"/>
      <c r="G22" s="111"/>
      <c r="H22" s="111"/>
      <c r="I22" s="110"/>
      <c r="J22" s="110"/>
      <c r="K22" s="110"/>
      <c r="L22" s="110"/>
    </row>
    <row r="23" spans="1:12" x14ac:dyDescent="0.2">
      <c r="A23" s="107"/>
      <c r="B23" s="227"/>
      <c r="C23" s="227"/>
      <c r="D23" s="108"/>
      <c r="E23" s="109"/>
      <c r="F23" s="110"/>
      <c r="G23" s="111"/>
      <c r="H23" s="111"/>
      <c r="I23" s="110"/>
      <c r="J23" s="110"/>
      <c r="K23" s="110"/>
      <c r="L23" s="110"/>
    </row>
    <row r="24" spans="1:12" x14ac:dyDescent="0.2">
      <c r="A24" s="107"/>
      <c r="B24" s="227"/>
      <c r="C24" s="227"/>
      <c r="D24" s="108"/>
      <c r="E24" s="109"/>
      <c r="F24" s="110"/>
      <c r="G24" s="111"/>
      <c r="H24" s="111"/>
      <c r="I24" s="110"/>
      <c r="J24" s="110"/>
      <c r="K24" s="110"/>
      <c r="L24" s="110"/>
    </row>
    <row r="25" spans="1:12" x14ac:dyDescent="0.2">
      <c r="A25" s="107"/>
      <c r="B25" s="227"/>
      <c r="C25" s="227"/>
      <c r="D25" s="108"/>
      <c r="E25" s="109"/>
      <c r="F25" s="110"/>
      <c r="G25" s="111"/>
      <c r="H25" s="111"/>
      <c r="I25" s="110"/>
      <c r="J25" s="110"/>
      <c r="K25" s="110"/>
      <c r="L25" s="110"/>
    </row>
    <row r="26" spans="1:12" x14ac:dyDescent="0.2">
      <c r="A26" s="107"/>
      <c r="B26" s="227"/>
      <c r="C26" s="227"/>
      <c r="D26" s="108"/>
      <c r="E26" s="109"/>
      <c r="F26" s="110"/>
      <c r="G26" s="111"/>
      <c r="H26" s="111"/>
      <c r="I26" s="110"/>
      <c r="J26" s="110"/>
      <c r="K26" s="110"/>
      <c r="L26" s="110"/>
    </row>
    <row r="27" spans="1:12" x14ac:dyDescent="0.2">
      <c r="A27" s="112" t="s">
        <v>151</v>
      </c>
      <c r="B27" s="113"/>
      <c r="C27" s="113"/>
      <c r="D27" s="121"/>
      <c r="E27" s="115"/>
      <c r="F27" s="115">
        <f>SUM(F21:F26)</f>
        <v>0</v>
      </c>
      <c r="G27" s="116"/>
      <c r="H27" s="116"/>
      <c r="I27" s="115">
        <f>SUM(I21:I26)</f>
        <v>0</v>
      </c>
      <c r="J27" s="115">
        <f>SUM(J21:J26)</f>
        <v>0</v>
      </c>
      <c r="K27" s="115">
        <f>SUM(K21:K26)</f>
        <v>0</v>
      </c>
      <c r="L27" s="115">
        <f>SUM(L21:L26)</f>
        <v>0</v>
      </c>
    </row>
    <row r="28" spans="1:12" x14ac:dyDescent="0.2">
      <c r="A28" s="96" t="s">
        <v>152</v>
      </c>
      <c r="B28" s="117"/>
      <c r="C28" s="117"/>
      <c r="D28" s="118"/>
      <c r="E28" s="119"/>
      <c r="F28" s="122"/>
      <c r="G28" s="120"/>
      <c r="H28" s="120"/>
      <c r="I28" s="119"/>
      <c r="J28" s="119"/>
      <c r="K28" s="119"/>
      <c r="L28" s="119"/>
    </row>
    <row r="29" spans="1:12" x14ac:dyDescent="0.2">
      <c r="A29" s="107"/>
      <c r="B29" s="227"/>
      <c r="C29" s="227"/>
      <c r="D29" s="108"/>
      <c r="E29" s="109"/>
      <c r="F29" s="110"/>
      <c r="G29" s="111"/>
      <c r="H29" s="111"/>
      <c r="I29" s="110"/>
      <c r="J29" s="110"/>
      <c r="K29" s="110"/>
      <c r="L29" s="110"/>
    </row>
    <row r="30" spans="1:12" x14ac:dyDescent="0.2">
      <c r="A30" s="107"/>
      <c r="B30" s="227"/>
      <c r="C30" s="227"/>
      <c r="D30" s="108"/>
      <c r="E30" s="109"/>
      <c r="F30" s="110"/>
      <c r="G30" s="111"/>
      <c r="H30" s="111"/>
      <c r="I30" s="110"/>
      <c r="J30" s="110"/>
      <c r="K30" s="110"/>
      <c r="L30" s="110"/>
    </row>
    <row r="31" spans="1:12" x14ac:dyDescent="0.2">
      <c r="A31" s="107"/>
      <c r="B31" s="227"/>
      <c r="C31" s="227"/>
      <c r="D31" s="108"/>
      <c r="E31" s="109"/>
      <c r="F31" s="110"/>
      <c r="G31" s="111"/>
      <c r="H31" s="111"/>
      <c r="I31" s="110"/>
      <c r="J31" s="110"/>
      <c r="K31" s="110"/>
      <c r="L31" s="110"/>
    </row>
    <row r="32" spans="1:12" x14ac:dyDescent="0.2">
      <c r="A32" s="107"/>
      <c r="B32" s="227"/>
      <c r="C32" s="227"/>
      <c r="D32" s="108"/>
      <c r="E32" s="109"/>
      <c r="F32" s="110"/>
      <c r="G32" s="111"/>
      <c r="H32" s="111"/>
      <c r="I32" s="110"/>
      <c r="J32" s="110"/>
      <c r="K32" s="110"/>
      <c r="L32" s="110"/>
    </row>
    <row r="33" spans="1:28" x14ac:dyDescent="0.2">
      <c r="A33" s="107"/>
      <c r="B33" s="227"/>
      <c r="C33" s="227"/>
      <c r="D33" s="108"/>
      <c r="E33" s="109"/>
      <c r="F33" s="110"/>
      <c r="G33" s="111"/>
      <c r="H33" s="111"/>
      <c r="I33" s="110"/>
      <c r="J33" s="110"/>
      <c r="K33" s="110"/>
      <c r="L33" s="110"/>
    </row>
    <row r="34" spans="1:28" x14ac:dyDescent="0.2">
      <c r="A34" s="107"/>
      <c r="B34" s="227"/>
      <c r="C34" s="227"/>
      <c r="D34" s="108"/>
      <c r="E34" s="109"/>
      <c r="F34" s="110"/>
      <c r="G34" s="111"/>
      <c r="H34" s="111"/>
      <c r="I34" s="110"/>
      <c r="J34" s="110"/>
      <c r="K34" s="110"/>
      <c r="L34" s="110"/>
    </row>
    <row r="35" spans="1:28" x14ac:dyDescent="0.2">
      <c r="A35" s="107"/>
      <c r="B35" s="227"/>
      <c r="C35" s="227"/>
      <c r="D35" s="108"/>
      <c r="E35" s="109"/>
      <c r="F35" s="110"/>
      <c r="G35" s="111"/>
      <c r="H35" s="111"/>
      <c r="I35" s="110"/>
      <c r="J35" s="110"/>
      <c r="K35" s="110"/>
      <c r="L35" s="110"/>
      <c r="M35" s="23"/>
      <c r="N35" s="23"/>
      <c r="O35" s="23"/>
      <c r="P35" s="23"/>
      <c r="Q35" s="23"/>
      <c r="R35" s="23"/>
      <c r="S35" s="23"/>
      <c r="T35" s="23"/>
      <c r="U35" s="23"/>
      <c r="V35" s="23"/>
      <c r="W35" s="23"/>
      <c r="X35" s="23"/>
      <c r="Y35" s="23"/>
      <c r="Z35" s="23"/>
      <c r="AA35" s="23"/>
      <c r="AB35" s="23"/>
    </row>
    <row r="36" spans="1:28" x14ac:dyDescent="0.2">
      <c r="A36" s="112" t="s">
        <v>204</v>
      </c>
      <c r="B36" s="112"/>
      <c r="C36" s="112"/>
      <c r="D36" s="121"/>
      <c r="E36" s="115"/>
      <c r="F36" s="115">
        <f>SUM(F29:F35)</f>
        <v>0</v>
      </c>
      <c r="G36" s="115"/>
      <c r="H36" s="115"/>
      <c r="I36" s="115">
        <f>SUM(I29:I35)</f>
        <v>0</v>
      </c>
      <c r="J36" s="115">
        <f>SUM(J29:J35)</f>
        <v>0</v>
      </c>
      <c r="K36" s="115">
        <f>SUM(K29:K35)</f>
        <v>0</v>
      </c>
      <c r="L36" s="115">
        <f>SUM(L29:L35)</f>
        <v>0</v>
      </c>
    </row>
    <row r="37" spans="1:28" x14ac:dyDescent="0.2">
      <c r="A37" s="112" t="s">
        <v>153</v>
      </c>
      <c r="B37" s="112"/>
      <c r="C37" s="112"/>
      <c r="D37" s="112"/>
      <c r="E37" s="115"/>
      <c r="F37" s="115">
        <f>SUM(F19+F27+F36)</f>
        <v>0</v>
      </c>
      <c r="G37" s="115"/>
      <c r="H37" s="115"/>
      <c r="I37" s="115">
        <f>SUM(I19+I27+I36)</f>
        <v>0</v>
      </c>
      <c r="J37" s="115">
        <f>SUM(J19+J27+J36)</f>
        <v>0</v>
      </c>
      <c r="K37" s="115">
        <f>SUM(K19+K27+K36)</f>
        <v>0</v>
      </c>
      <c r="L37" s="115">
        <f>SUM(L19+L27+L36)</f>
        <v>0</v>
      </c>
    </row>
    <row r="38" spans="1:28" x14ac:dyDescent="0.2">
      <c r="A38" s="23"/>
      <c r="B38" s="23"/>
      <c r="C38" s="23"/>
      <c r="D38" s="23"/>
      <c r="E38" s="23"/>
      <c r="F38" s="23"/>
      <c r="G38" s="23"/>
      <c r="H38" s="23"/>
      <c r="I38" s="23"/>
      <c r="J38" s="23"/>
      <c r="K38" s="23"/>
      <c r="L38" s="23"/>
    </row>
    <row r="39" spans="1:28" x14ac:dyDescent="0.2">
      <c r="E39" s="123"/>
      <c r="F39" s="123"/>
      <c r="I39" s="123"/>
      <c r="J39" s="123"/>
      <c r="K39" s="123"/>
      <c r="L39" s="123"/>
    </row>
    <row r="40" spans="1:28" x14ac:dyDescent="0.2">
      <c r="E40" s="23"/>
      <c r="G40" s="124"/>
      <c r="M40" s="23"/>
    </row>
    <row r="41" spans="1:28" x14ac:dyDescent="0.2">
      <c r="A41" s="23"/>
      <c r="B41" s="23"/>
      <c r="C41" s="23"/>
      <c r="D41" s="23"/>
      <c r="E41" s="23"/>
      <c r="F41" s="23"/>
      <c r="G41" s="23"/>
      <c r="H41" s="23"/>
      <c r="I41" s="23"/>
      <c r="J41" s="23"/>
      <c r="K41" s="23"/>
      <c r="L41" s="23"/>
    </row>
    <row r="42" spans="1:28" x14ac:dyDescent="0.2">
      <c r="A42" s="23"/>
      <c r="B42" s="23"/>
      <c r="C42" s="23"/>
      <c r="D42" s="23"/>
      <c r="E42" s="23"/>
      <c r="F42" s="23"/>
      <c r="G42" s="23"/>
      <c r="H42" s="23"/>
      <c r="I42" s="23"/>
      <c r="J42" s="23"/>
      <c r="K42" s="23"/>
      <c r="L42" s="23"/>
    </row>
  </sheetData>
  <sheetProtection sheet="1"/>
  <mergeCells count="10">
    <mergeCell ref="A3:L3"/>
    <mergeCell ref="A5:A7"/>
    <mergeCell ref="B5:B7"/>
    <mergeCell ref="C5:C7"/>
    <mergeCell ref="D5:D7"/>
    <mergeCell ref="E5:E7"/>
    <mergeCell ref="F5:F7"/>
    <mergeCell ref="G5:H6"/>
    <mergeCell ref="I5:J6"/>
    <mergeCell ref="K5:L6"/>
  </mergeCells>
  <phoneticPr fontId="0" type="noConversion"/>
  <pageMargins left="0.38" right="0.5" top="0.78" bottom="0.4" header="0.5" footer="0"/>
  <pageSetup scale="80" orientation="landscape" blackAndWhite="1" r:id="rId1"/>
  <headerFooter alignWithMargins="0">
    <oddHeader xml:space="preserve">&amp;RState of Kansas
County
</oddHeader>
    <oddFooter>&amp;CPage No. 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H48"/>
  <sheetViews>
    <sheetView zoomScale="75" workbookViewId="0">
      <selection activeCell="B15" sqref="B15"/>
    </sheetView>
  </sheetViews>
  <sheetFormatPr defaultRowHeight="15.75" x14ac:dyDescent="0.2"/>
  <cols>
    <col min="1" max="1" width="25.77734375" style="23" customWidth="1"/>
    <col min="2" max="4" width="9.77734375" style="23" customWidth="1"/>
    <col min="5" max="5" width="17.109375" style="23" customWidth="1"/>
    <col min="6" max="8" width="15.77734375" style="23" customWidth="1"/>
    <col min="9" max="16384" width="8.88671875" style="23"/>
  </cols>
  <sheetData>
    <row r="1" spans="1:8" x14ac:dyDescent="0.2">
      <c r="A1" s="57" t="str">
        <f>inputPrYr!$C$3</f>
        <v>Doniphan County</v>
      </c>
      <c r="B1" s="26"/>
      <c r="C1" s="26"/>
      <c r="D1" s="26"/>
      <c r="E1" s="26"/>
      <c r="F1" s="26"/>
      <c r="G1" s="26"/>
      <c r="H1" s="125">
        <f>inputPrYr!C5</f>
        <v>2024</v>
      </c>
    </row>
    <row r="2" spans="1:8" x14ac:dyDescent="0.2">
      <c r="A2" s="26"/>
      <c r="B2" s="26"/>
      <c r="C2" s="26"/>
      <c r="D2" s="26"/>
      <c r="E2" s="26"/>
      <c r="F2" s="26"/>
      <c r="G2" s="26"/>
      <c r="H2" s="90"/>
    </row>
    <row r="3" spans="1:8" x14ac:dyDescent="0.2">
      <c r="A3" s="26"/>
      <c r="B3" s="30"/>
      <c r="C3" s="30"/>
      <c r="D3" s="30"/>
      <c r="E3" s="30"/>
      <c r="F3" s="30"/>
      <c r="G3" s="30"/>
      <c r="H3" s="125"/>
    </row>
    <row r="4" spans="1:8" x14ac:dyDescent="0.2">
      <c r="A4" s="99" t="s">
        <v>165</v>
      </c>
      <c r="B4" s="30"/>
      <c r="C4" s="30"/>
      <c r="D4" s="30"/>
      <c r="E4" s="30"/>
      <c r="F4" s="30"/>
      <c r="G4" s="30"/>
      <c r="H4" s="30"/>
    </row>
    <row r="5" spans="1:8" x14ac:dyDescent="0.2">
      <c r="A5" s="44"/>
      <c r="B5" s="100"/>
      <c r="C5" s="100"/>
      <c r="D5" s="100"/>
      <c r="E5" s="100"/>
      <c r="F5" s="100"/>
      <c r="G5" s="100"/>
      <c r="H5" s="100"/>
    </row>
    <row r="6" spans="1:8" x14ac:dyDescent="0.2">
      <c r="A6" s="126"/>
      <c r="B6" s="127"/>
      <c r="C6" s="127"/>
      <c r="D6" s="127"/>
      <c r="E6" s="101" t="s">
        <v>54</v>
      </c>
      <c r="F6" s="127"/>
      <c r="G6" s="127"/>
      <c r="H6" s="127"/>
    </row>
    <row r="7" spans="1:8" x14ac:dyDescent="0.2">
      <c r="A7" s="126"/>
      <c r="B7" s="102"/>
      <c r="C7" s="102" t="s">
        <v>154</v>
      </c>
      <c r="D7" s="102" t="s">
        <v>155</v>
      </c>
      <c r="E7" s="102" t="s">
        <v>70</v>
      </c>
      <c r="F7" s="102" t="s">
        <v>156</v>
      </c>
      <c r="G7" s="102" t="s">
        <v>157</v>
      </c>
      <c r="H7" s="102" t="s">
        <v>157</v>
      </c>
    </row>
    <row r="8" spans="1:8" x14ac:dyDescent="0.2">
      <c r="A8" s="288" t="s">
        <v>302</v>
      </c>
      <c r="B8" s="102" t="s">
        <v>158</v>
      </c>
      <c r="C8" s="102" t="s">
        <v>159</v>
      </c>
      <c r="D8" s="102" t="s">
        <v>146</v>
      </c>
      <c r="E8" s="102" t="s">
        <v>160</v>
      </c>
      <c r="F8" s="102" t="s">
        <v>180</v>
      </c>
      <c r="G8" s="102" t="s">
        <v>161</v>
      </c>
      <c r="H8" s="102" t="s">
        <v>161</v>
      </c>
    </row>
    <row r="9" spans="1:8" x14ac:dyDescent="0.2">
      <c r="A9" s="231" t="s">
        <v>301</v>
      </c>
      <c r="B9" s="104" t="s">
        <v>145</v>
      </c>
      <c r="C9" s="129" t="s">
        <v>162</v>
      </c>
      <c r="D9" s="104" t="s">
        <v>95</v>
      </c>
      <c r="E9" s="129" t="s">
        <v>187</v>
      </c>
      <c r="F9" s="130" t="str">
        <f>CONCATENATE("Jan 1, ",H1-1,"")</f>
        <v>Jan 1, 2023</v>
      </c>
      <c r="G9" s="104">
        <f>H1-1</f>
        <v>2023</v>
      </c>
      <c r="H9" s="104">
        <f>H1</f>
        <v>2024</v>
      </c>
    </row>
    <row r="10" spans="1:8" x14ac:dyDescent="0.2">
      <c r="A10" s="131"/>
      <c r="B10" s="131"/>
      <c r="C10" s="132"/>
      <c r="D10" s="133"/>
      <c r="E10" s="42"/>
      <c r="F10" s="42"/>
      <c r="G10" s="42"/>
      <c r="H10" s="42"/>
    </row>
    <row r="11" spans="1:8" x14ac:dyDescent="0.2">
      <c r="A11" s="131"/>
      <c r="B11" s="131"/>
      <c r="C11" s="132"/>
      <c r="D11" s="133"/>
      <c r="E11" s="42"/>
      <c r="F11" s="42"/>
      <c r="G11" s="42"/>
      <c r="H11" s="42"/>
    </row>
    <row r="12" spans="1:8" x14ac:dyDescent="0.2">
      <c r="A12" s="131"/>
      <c r="B12" s="226"/>
      <c r="C12" s="132"/>
      <c r="D12" s="133"/>
      <c r="E12" s="42"/>
      <c r="F12" s="42"/>
      <c r="G12" s="42"/>
      <c r="H12" s="42"/>
    </row>
    <row r="13" spans="1:8" x14ac:dyDescent="0.2">
      <c r="A13" s="131"/>
      <c r="B13" s="131"/>
      <c r="C13" s="132"/>
      <c r="D13" s="133"/>
      <c r="E13" s="42"/>
      <c r="F13" s="42"/>
      <c r="G13" s="42"/>
      <c r="H13" s="42"/>
    </row>
    <row r="14" spans="1:8" x14ac:dyDescent="0.2">
      <c r="A14" s="131"/>
      <c r="B14" s="131"/>
      <c r="C14" s="132"/>
      <c r="D14" s="133"/>
      <c r="E14" s="42"/>
      <c r="F14" s="42"/>
      <c r="G14" s="42"/>
      <c r="H14" s="42"/>
    </row>
    <row r="15" spans="1:8" x14ac:dyDescent="0.2">
      <c r="A15" s="131"/>
      <c r="B15" s="131"/>
      <c r="C15" s="132"/>
      <c r="D15" s="133"/>
      <c r="E15" s="42"/>
      <c r="F15" s="42"/>
      <c r="G15" s="42"/>
      <c r="H15" s="42"/>
    </row>
    <row r="16" spans="1:8" x14ac:dyDescent="0.2">
      <c r="A16" s="131"/>
      <c r="B16" s="131"/>
      <c r="C16" s="132"/>
      <c r="D16" s="133"/>
      <c r="E16" s="42"/>
      <c r="F16" s="42"/>
      <c r="G16" s="42"/>
      <c r="H16" s="42"/>
    </row>
    <row r="17" spans="1:8" x14ac:dyDescent="0.2">
      <c r="A17" s="131"/>
      <c r="B17" s="131"/>
      <c r="C17" s="132"/>
      <c r="D17" s="133"/>
      <c r="E17" s="42"/>
      <c r="F17" s="42"/>
      <c r="G17" s="42"/>
      <c r="H17" s="42"/>
    </row>
    <row r="18" spans="1:8" x14ac:dyDescent="0.2">
      <c r="A18" s="131"/>
      <c r="B18" s="131"/>
      <c r="C18" s="132"/>
      <c r="D18" s="133"/>
      <c r="E18" s="42"/>
      <c r="F18" s="42"/>
      <c r="G18" s="42"/>
      <c r="H18" s="42"/>
    </row>
    <row r="19" spans="1:8" x14ac:dyDescent="0.2">
      <c r="A19" s="131"/>
      <c r="B19" s="131"/>
      <c r="C19" s="132"/>
      <c r="D19" s="133"/>
      <c r="E19" s="42"/>
      <c r="F19" s="42"/>
      <c r="G19" s="42"/>
      <c r="H19" s="42"/>
    </row>
    <row r="20" spans="1:8" x14ac:dyDescent="0.2">
      <c r="A20" s="131"/>
      <c r="B20" s="131"/>
      <c r="C20" s="132"/>
      <c r="D20" s="133"/>
      <c r="E20" s="42"/>
      <c r="F20" s="42"/>
      <c r="G20" s="42"/>
      <c r="H20" s="42"/>
    </row>
    <row r="21" spans="1:8" x14ac:dyDescent="0.2">
      <c r="A21" s="131"/>
      <c r="B21" s="131"/>
      <c r="C21" s="132"/>
      <c r="D21" s="133"/>
      <c r="E21" s="42"/>
      <c r="F21" s="42"/>
      <c r="G21" s="42"/>
      <c r="H21" s="42"/>
    </row>
    <row r="22" spans="1:8" x14ac:dyDescent="0.2">
      <c r="A22" s="131"/>
      <c r="B22" s="131"/>
      <c r="C22" s="132"/>
      <c r="D22" s="133"/>
      <c r="E22" s="42"/>
      <c r="F22" s="42"/>
      <c r="G22" s="42"/>
      <c r="H22" s="42"/>
    </row>
    <row r="23" spans="1:8" x14ac:dyDescent="0.2">
      <c r="A23" s="131"/>
      <c r="B23" s="131"/>
      <c r="C23" s="132"/>
      <c r="D23" s="133"/>
      <c r="E23" s="42"/>
      <c r="F23" s="42"/>
      <c r="G23" s="42"/>
      <c r="H23" s="42"/>
    </row>
    <row r="24" spans="1:8" x14ac:dyDescent="0.2">
      <c r="A24" s="131"/>
      <c r="B24" s="131"/>
      <c r="C24" s="132"/>
      <c r="D24" s="133"/>
      <c r="E24" s="42"/>
      <c r="F24" s="42"/>
      <c r="G24" s="42"/>
      <c r="H24" s="42"/>
    </row>
    <row r="25" spans="1:8" x14ac:dyDescent="0.2">
      <c r="A25" s="131"/>
      <c r="B25" s="131"/>
      <c r="C25" s="132"/>
      <c r="D25" s="133"/>
      <c r="E25" s="42"/>
      <c r="F25" s="42"/>
      <c r="G25" s="42"/>
      <c r="H25" s="42"/>
    </row>
    <row r="26" spans="1:8" x14ac:dyDescent="0.2">
      <c r="A26" s="131"/>
      <c r="B26" s="131"/>
      <c r="C26" s="132"/>
      <c r="D26" s="133"/>
      <c r="E26" s="42"/>
      <c r="F26" s="42"/>
      <c r="G26" s="42"/>
      <c r="H26" s="42"/>
    </row>
    <row r="27" spans="1:8" x14ac:dyDescent="0.2">
      <c r="A27" s="131"/>
      <c r="B27" s="131"/>
      <c r="C27" s="132"/>
      <c r="D27" s="133"/>
      <c r="E27" s="42"/>
      <c r="F27" s="42"/>
      <c r="G27" s="42"/>
      <c r="H27" s="42"/>
    </row>
    <row r="28" spans="1:8" x14ac:dyDescent="0.2">
      <c r="A28" s="131"/>
      <c r="B28" s="131"/>
      <c r="C28" s="132"/>
      <c r="D28" s="133"/>
      <c r="E28" s="42"/>
      <c r="F28" s="42"/>
      <c r="G28" s="42"/>
      <c r="H28" s="42"/>
    </row>
    <row r="29" spans="1:8" x14ac:dyDescent="0.2">
      <c r="A29" s="131"/>
      <c r="B29" s="131"/>
      <c r="C29" s="132"/>
      <c r="D29" s="133"/>
      <c r="E29" s="42"/>
      <c r="F29" s="42"/>
      <c r="G29" s="42"/>
      <c r="H29" s="42"/>
    </row>
    <row r="30" spans="1:8" x14ac:dyDescent="0.2">
      <c r="A30" s="131"/>
      <c r="B30" s="131"/>
      <c r="C30" s="132"/>
      <c r="D30" s="133"/>
      <c r="E30" s="42"/>
      <c r="F30" s="42"/>
      <c r="G30" s="42"/>
      <c r="H30" s="42"/>
    </row>
    <row r="31" spans="1:8" x14ac:dyDescent="0.2">
      <c r="A31" s="131"/>
      <c r="B31" s="131"/>
      <c r="C31" s="132"/>
      <c r="D31" s="133"/>
      <c r="E31" s="42"/>
      <c r="F31" s="42"/>
      <c r="G31" s="42"/>
      <c r="H31" s="42"/>
    </row>
    <row r="32" spans="1:8" x14ac:dyDescent="0.2">
      <c r="A32" s="131"/>
      <c r="B32" s="131"/>
      <c r="C32" s="132"/>
      <c r="D32" s="133"/>
      <c r="E32" s="42"/>
      <c r="F32" s="42"/>
      <c r="G32" s="42"/>
      <c r="H32" s="42"/>
    </row>
    <row r="33" spans="1:8" x14ac:dyDescent="0.2">
      <c r="A33" s="131"/>
      <c r="B33" s="131"/>
      <c r="C33" s="132"/>
      <c r="D33" s="133"/>
      <c r="E33" s="42"/>
      <c r="F33" s="42"/>
      <c r="G33" s="42"/>
      <c r="H33" s="42"/>
    </row>
    <row r="34" spans="1:8" x14ac:dyDescent="0.2">
      <c r="A34" s="131"/>
      <c r="B34" s="131"/>
      <c r="C34" s="132"/>
      <c r="D34" s="133"/>
      <c r="E34" s="42"/>
      <c r="F34" s="42"/>
      <c r="G34" s="42"/>
      <c r="H34" s="42"/>
    </row>
    <row r="35" spans="1:8" x14ac:dyDescent="0.2">
      <c r="A35" s="131"/>
      <c r="B35" s="131"/>
      <c r="C35" s="132"/>
      <c r="D35" s="133"/>
      <c r="E35" s="42"/>
      <c r="F35" s="42"/>
      <c r="G35" s="42"/>
      <c r="H35" s="42"/>
    </row>
    <row r="36" spans="1:8" x14ac:dyDescent="0.2">
      <c r="A36" s="131"/>
      <c r="B36" s="131"/>
      <c r="C36" s="132"/>
      <c r="D36" s="133"/>
      <c r="E36" s="42"/>
      <c r="F36" s="42"/>
      <c r="G36" s="42"/>
      <c r="H36" s="42"/>
    </row>
    <row r="37" spans="1:8" ht="16.5" thickBot="1" x14ac:dyDescent="0.25">
      <c r="A37" s="135"/>
      <c r="B37" s="26"/>
      <c r="C37" s="26"/>
      <c r="D37" s="26"/>
      <c r="E37" s="112" t="s">
        <v>77</v>
      </c>
      <c r="F37" s="458">
        <f>SUM(F10:F36)</f>
        <v>0</v>
      </c>
      <c r="G37" s="460">
        <f>SUM(G10:G36)</f>
        <v>0</v>
      </c>
      <c r="H37" s="459">
        <f>SUM(H10:H36)</f>
        <v>0</v>
      </c>
    </row>
    <row r="38" spans="1:8" ht="16.5" thickTop="1" x14ac:dyDescent="0.2">
      <c r="A38" s="26"/>
      <c r="B38" s="26"/>
      <c r="C38" s="26"/>
      <c r="D38" s="26"/>
      <c r="E38" s="26"/>
      <c r="F38" s="26"/>
      <c r="G38" s="57"/>
      <c r="H38" s="57"/>
    </row>
    <row r="39" spans="1:8" x14ac:dyDescent="0.2">
      <c r="A39" s="629" t="s">
        <v>514</v>
      </c>
      <c r="B39" s="629"/>
      <c r="C39" s="629"/>
      <c r="D39" s="629"/>
      <c r="E39" s="629"/>
      <c r="F39" s="629"/>
      <c r="G39" s="629"/>
      <c r="H39" s="629"/>
    </row>
    <row r="40" spans="1:8" x14ac:dyDescent="0.2">
      <c r="A40" s="56"/>
      <c r="B40" s="56"/>
      <c r="C40" s="124"/>
      <c r="D40" s="56"/>
      <c r="E40" s="56"/>
      <c r="F40" s="56"/>
      <c r="G40" s="123"/>
      <c r="H40" s="123"/>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row r="48" spans="1:8" x14ac:dyDescent="0.2">
      <c r="A48" s="56"/>
      <c r="B48" s="56"/>
      <c r="C48" s="56"/>
      <c r="D48" s="56"/>
      <c r="E48" s="56"/>
      <c r="F48" s="56"/>
      <c r="G48" s="56"/>
      <c r="H48" s="56"/>
    </row>
  </sheetData>
  <sheetProtection sheet="1"/>
  <mergeCells count="1">
    <mergeCell ref="A39:H39"/>
  </mergeCells>
  <phoneticPr fontId="0" type="noConversion"/>
  <pageMargins left="0.17" right="0.5" top="0.78" bottom="0.4" header="0.5" footer="0"/>
  <pageSetup scale="87" orientation="landscape" blackAndWhite="1" r:id="rId1"/>
  <headerFooter alignWithMargins="0">
    <oddHeader xml:space="preserve">&amp;RState of Kansas
County
</oddHeader>
    <oddFooter xml:space="preserve">&amp;CPage No. 5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B1:J82"/>
  <sheetViews>
    <sheetView topLeftCell="A46" zoomScaleNormal="100" workbookViewId="0">
      <selection activeCell="E55" sqref="E55"/>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172</v>
      </c>
      <c r="C3" s="26"/>
      <c r="D3" s="26"/>
      <c r="E3" s="134"/>
    </row>
    <row r="4" spans="2:5" x14ac:dyDescent="0.2">
      <c r="B4" s="135" t="s">
        <v>80</v>
      </c>
      <c r="C4" s="333" t="s">
        <v>306</v>
      </c>
      <c r="D4" s="334" t="s">
        <v>307</v>
      </c>
      <c r="E4" s="80" t="s">
        <v>308</v>
      </c>
    </row>
    <row r="5" spans="2:5" x14ac:dyDescent="0.2">
      <c r="B5" s="247" t="str">
        <f>inputPrYr!B17</f>
        <v>General</v>
      </c>
      <c r="C5" s="231" t="str">
        <f>CONCATENATE("Actual for ",E1-2,"")</f>
        <v>Actual for 2022</v>
      </c>
      <c r="D5" s="231" t="str">
        <f>CONCATENATE("Estimate for ",E1-1,"")</f>
        <v>Estimate for 2023</v>
      </c>
      <c r="E5" s="136" t="str">
        <f>CONCATENATE("Year for ",E1,"")</f>
        <v>Year for 2024</v>
      </c>
    </row>
    <row r="6" spans="2:5" x14ac:dyDescent="0.2">
      <c r="B6" s="137" t="s">
        <v>182</v>
      </c>
      <c r="C6" s="229">
        <v>1612768</v>
      </c>
      <c r="D6" s="232">
        <f>C60</f>
        <v>1579041</v>
      </c>
      <c r="E6" s="106">
        <f>D60</f>
        <v>1300455</v>
      </c>
    </row>
    <row r="7" spans="2:5" x14ac:dyDescent="0.2">
      <c r="B7" s="128" t="s">
        <v>184</v>
      </c>
      <c r="C7" s="139"/>
      <c r="D7" s="139"/>
      <c r="E7" s="50"/>
    </row>
    <row r="8" spans="2:5" x14ac:dyDescent="0.2">
      <c r="B8" s="137" t="s">
        <v>81</v>
      </c>
      <c r="C8" s="229">
        <v>2072262</v>
      </c>
      <c r="D8" s="232">
        <f>IF(inputPrYr!H17&gt;0,inputPrYr!H17,inputPrYr!E17)</f>
        <v>2214933</v>
      </c>
      <c r="E8" s="86" t="s">
        <v>66</v>
      </c>
    </row>
    <row r="9" spans="2:5" x14ac:dyDescent="0.2">
      <c r="B9" s="137" t="s">
        <v>82</v>
      </c>
      <c r="C9" s="229">
        <v>2469</v>
      </c>
      <c r="D9" s="229">
        <v>24757</v>
      </c>
      <c r="E9" s="140">
        <v>2000</v>
      </c>
    </row>
    <row r="10" spans="2:5" x14ac:dyDescent="0.2">
      <c r="B10" s="137" t="s">
        <v>83</v>
      </c>
      <c r="C10" s="229">
        <v>123587</v>
      </c>
      <c r="D10" s="229">
        <v>121893</v>
      </c>
      <c r="E10" s="106">
        <f>Mvalloc!D7</f>
        <v>125976</v>
      </c>
    </row>
    <row r="11" spans="2:5" x14ac:dyDescent="0.2">
      <c r="B11" s="137" t="s">
        <v>84</v>
      </c>
      <c r="C11" s="229">
        <v>2791</v>
      </c>
      <c r="D11" s="229">
        <v>2831</v>
      </c>
      <c r="E11" s="106">
        <f>Mvalloc!E7</f>
        <v>2840</v>
      </c>
    </row>
    <row r="12" spans="2:5" x14ac:dyDescent="0.2">
      <c r="B12" s="139" t="s">
        <v>177</v>
      </c>
      <c r="C12" s="229">
        <v>20512</v>
      </c>
      <c r="D12" s="229">
        <v>21938</v>
      </c>
      <c r="E12" s="106">
        <f>Mvalloc!F7</f>
        <v>23664</v>
      </c>
    </row>
    <row r="13" spans="2:5" x14ac:dyDescent="0.2">
      <c r="B13" s="137" t="s">
        <v>335</v>
      </c>
      <c r="C13" s="229">
        <v>7248</v>
      </c>
      <c r="D13" s="229">
        <v>7135</v>
      </c>
      <c r="E13" s="106">
        <f>Mvalloc!G7</f>
        <v>7314</v>
      </c>
    </row>
    <row r="14" spans="2:5" x14ac:dyDescent="0.2">
      <c r="B14" s="137" t="s">
        <v>336</v>
      </c>
      <c r="C14" s="229"/>
      <c r="D14" s="229">
        <v>1454</v>
      </c>
      <c r="E14" s="106">
        <f>Mvalloc!H7</f>
        <v>1482</v>
      </c>
    </row>
    <row r="15" spans="2:5" x14ac:dyDescent="0.2">
      <c r="B15" s="137" t="s">
        <v>179</v>
      </c>
      <c r="C15" s="229">
        <v>13992</v>
      </c>
      <c r="D15" s="229">
        <v>12113</v>
      </c>
      <c r="E15" s="106">
        <f>inputOth!E12</f>
        <v>9372</v>
      </c>
    </row>
    <row r="16" spans="2:5" x14ac:dyDescent="0.2">
      <c r="B16" s="137" t="s">
        <v>199</v>
      </c>
      <c r="C16" s="229"/>
      <c r="D16" s="229"/>
      <c r="E16" s="106">
        <f>inputOth!E23</f>
        <v>0</v>
      </c>
    </row>
    <row r="17" spans="2:5" x14ac:dyDescent="0.2">
      <c r="B17" s="137" t="s">
        <v>200</v>
      </c>
      <c r="C17" s="229"/>
      <c r="D17" s="229"/>
      <c r="E17" s="106">
        <f>inputOth!E24</f>
        <v>0</v>
      </c>
    </row>
    <row r="18" spans="2:5" x14ac:dyDescent="0.2">
      <c r="B18" s="141" t="s">
        <v>977</v>
      </c>
      <c r="C18" s="229">
        <v>166733</v>
      </c>
      <c r="D18" s="229">
        <v>155000</v>
      </c>
      <c r="E18" s="140">
        <v>150000</v>
      </c>
    </row>
    <row r="19" spans="2:5" x14ac:dyDescent="0.2">
      <c r="B19" s="141" t="s">
        <v>978</v>
      </c>
      <c r="C19" s="229">
        <v>76037</v>
      </c>
      <c r="D19" s="229">
        <v>50000</v>
      </c>
      <c r="E19" s="140">
        <v>50000</v>
      </c>
    </row>
    <row r="20" spans="2:5" x14ac:dyDescent="0.2">
      <c r="B20" s="141" t="s">
        <v>979</v>
      </c>
      <c r="C20" s="229">
        <v>4765</v>
      </c>
      <c r="D20" s="229">
        <v>4765</v>
      </c>
      <c r="E20" s="140">
        <v>4765</v>
      </c>
    </row>
    <row r="21" spans="2:5" x14ac:dyDescent="0.2">
      <c r="B21" s="142"/>
      <c r="C21" s="229"/>
      <c r="D21" s="229"/>
      <c r="E21" s="140"/>
    </row>
    <row r="22" spans="2:5" x14ac:dyDescent="0.2">
      <c r="B22" s="141"/>
      <c r="C22" s="229"/>
      <c r="D22" s="229"/>
      <c r="E22" s="140"/>
    </row>
    <row r="23" spans="2:5" x14ac:dyDescent="0.2">
      <c r="B23" s="141" t="s">
        <v>86</v>
      </c>
      <c r="C23" s="229"/>
      <c r="D23" s="229"/>
      <c r="E23" s="140"/>
    </row>
    <row r="24" spans="2:5" x14ac:dyDescent="0.2">
      <c r="B24" s="142" t="s">
        <v>87</v>
      </c>
      <c r="C24" s="229">
        <v>168304</v>
      </c>
      <c r="D24" s="229">
        <v>500000</v>
      </c>
      <c r="E24" s="140">
        <v>250000</v>
      </c>
    </row>
    <row r="25" spans="2:5" x14ac:dyDescent="0.2">
      <c r="B25" s="143" t="s">
        <v>40</v>
      </c>
      <c r="C25" s="229">
        <v>-50072</v>
      </c>
      <c r="D25" s="229">
        <v>-50802</v>
      </c>
      <c r="E25" s="106">
        <f>'NR Rebate'!E6*-1</f>
        <v>-60291</v>
      </c>
    </row>
    <row r="26" spans="2:5" x14ac:dyDescent="0.2">
      <c r="B26" s="143" t="s">
        <v>38</v>
      </c>
      <c r="C26" s="229">
        <v>26350</v>
      </c>
      <c r="D26" s="229">
        <v>25000</v>
      </c>
      <c r="E26" s="140">
        <v>25000</v>
      </c>
    </row>
    <row r="27" spans="2:5" x14ac:dyDescent="0.2">
      <c r="B27" s="143" t="s">
        <v>278</v>
      </c>
      <c r="C27" s="230" t="str">
        <f>IF(C28*0.1&lt;C26,"Exceed 10% Rule","")</f>
        <v/>
      </c>
      <c r="D27" s="230" t="str">
        <f>IF(D28*0.1&lt;D26,"Exceed 10% Rule","")</f>
        <v/>
      </c>
      <c r="E27" s="170" t="str">
        <f>IF(E28*0.1+E66&lt;E26,"Exceed 10% Rule","")</f>
        <v/>
      </c>
    </row>
    <row r="28" spans="2:5" x14ac:dyDescent="0.2">
      <c r="B28" s="145" t="s">
        <v>88</v>
      </c>
      <c r="C28" s="457">
        <f>SUM(C8:C26)</f>
        <v>2634978</v>
      </c>
      <c r="D28" s="457">
        <f>SUM(D8:D26)</f>
        <v>3091017</v>
      </c>
      <c r="E28" s="457">
        <f>SUM(E9:E26)</f>
        <v>592122</v>
      </c>
    </row>
    <row r="29" spans="2:5" x14ac:dyDescent="0.2">
      <c r="B29" s="145" t="s">
        <v>89</v>
      </c>
      <c r="C29" s="457">
        <f>C6+C28</f>
        <v>4247746</v>
      </c>
      <c r="D29" s="457">
        <f>D6+D28</f>
        <v>4670058</v>
      </c>
      <c r="E29" s="457">
        <f>E6+E28</f>
        <v>1892577</v>
      </c>
    </row>
    <row r="30" spans="2:5" x14ac:dyDescent="0.2">
      <c r="B30" s="26"/>
      <c r="C30" s="57"/>
      <c r="D30" s="57"/>
      <c r="E30" s="57"/>
    </row>
    <row r="31" spans="2:5" x14ac:dyDescent="0.2">
      <c r="B31" s="630" t="s">
        <v>356</v>
      </c>
      <c r="C31" s="630"/>
      <c r="D31" s="630"/>
      <c r="E31" s="630"/>
    </row>
    <row r="32" spans="2:5" x14ac:dyDescent="0.2">
      <c r="B32" s="57" t="str">
        <f>inputPrYr!C3</f>
        <v>Doniphan County</v>
      </c>
      <c r="C32" s="57"/>
      <c r="D32" s="57"/>
      <c r="E32" s="125">
        <f>inputPrYr!C5</f>
        <v>2024</v>
      </c>
    </row>
    <row r="33" spans="2:5" x14ac:dyDescent="0.2">
      <c r="B33" s="26"/>
      <c r="C33" s="57"/>
      <c r="D33" s="57"/>
      <c r="E33" s="90"/>
    </row>
    <row r="34" spans="2:5" x14ac:dyDescent="0.2">
      <c r="B34" s="146" t="s">
        <v>168</v>
      </c>
      <c r="C34" s="147"/>
      <c r="D34" s="147"/>
      <c r="E34" s="147"/>
    </row>
    <row r="35" spans="2:5" x14ac:dyDescent="0.2">
      <c r="B35" s="26" t="s">
        <v>80</v>
      </c>
      <c r="C35" s="333" t="s">
        <v>306</v>
      </c>
      <c r="D35" s="334" t="s">
        <v>307</v>
      </c>
      <c r="E35" s="80" t="s">
        <v>308</v>
      </c>
    </row>
    <row r="36" spans="2:5" x14ac:dyDescent="0.2">
      <c r="B36" s="44" t="s">
        <v>91</v>
      </c>
      <c r="C36" s="231" t="str">
        <f>CONCATENATE("Actual for ",E32-2,"")</f>
        <v>Actual for 2022</v>
      </c>
      <c r="D36" s="231" t="str">
        <f>CONCATENATE("Estimate for ",E32-1,"")</f>
        <v>Estimate for 2023</v>
      </c>
      <c r="E36" s="136" t="str">
        <f>CONCATENATE("Year for ",E32,"")</f>
        <v>Year for 2024</v>
      </c>
    </row>
    <row r="37" spans="2:5" x14ac:dyDescent="0.2">
      <c r="B37" s="145" t="s">
        <v>89</v>
      </c>
      <c r="C37" s="232">
        <f>C29</f>
        <v>4247746</v>
      </c>
      <c r="D37" s="232">
        <f>D29</f>
        <v>4670058</v>
      </c>
      <c r="E37" s="106">
        <f>E29</f>
        <v>1892577</v>
      </c>
    </row>
    <row r="38" spans="2:5" x14ac:dyDescent="0.2">
      <c r="B38" s="137" t="s">
        <v>92</v>
      </c>
      <c r="C38" s="232"/>
      <c r="D38" s="232"/>
      <c r="E38" s="106"/>
    </row>
    <row r="39" spans="2:5" x14ac:dyDescent="0.2">
      <c r="B39" s="139" t="s">
        <v>101</v>
      </c>
      <c r="C39" s="232">
        <v>64886</v>
      </c>
      <c r="D39" s="232">
        <v>96530</v>
      </c>
      <c r="E39" s="106">
        <v>127550</v>
      </c>
    </row>
    <row r="40" spans="2:5" x14ac:dyDescent="0.2">
      <c r="B40" s="139" t="s">
        <v>69</v>
      </c>
      <c r="C40" s="232">
        <v>197533</v>
      </c>
      <c r="D40" s="232">
        <v>246534</v>
      </c>
      <c r="E40" s="106">
        <v>252000</v>
      </c>
    </row>
    <row r="41" spans="2:5" x14ac:dyDescent="0.2">
      <c r="B41" s="139" t="s">
        <v>102</v>
      </c>
      <c r="C41" s="232">
        <v>184051</v>
      </c>
      <c r="D41" s="232">
        <v>292750</v>
      </c>
      <c r="E41" s="106">
        <v>341000</v>
      </c>
    </row>
    <row r="42" spans="2:5" x14ac:dyDescent="0.2">
      <c r="B42" s="139" t="s">
        <v>78</v>
      </c>
      <c r="C42" s="232">
        <v>80102</v>
      </c>
      <c r="D42" s="232">
        <v>85519</v>
      </c>
      <c r="E42" s="106">
        <v>101420</v>
      </c>
    </row>
    <row r="43" spans="2:5" x14ac:dyDescent="0.2">
      <c r="B43" s="139" t="s">
        <v>980</v>
      </c>
      <c r="C43" s="232">
        <v>239122</v>
      </c>
      <c r="D43" s="232">
        <v>315989</v>
      </c>
      <c r="E43" s="106">
        <v>315989</v>
      </c>
    </row>
    <row r="44" spans="2:5" x14ac:dyDescent="0.2">
      <c r="B44" s="139" t="s">
        <v>981</v>
      </c>
      <c r="C44" s="232">
        <v>75202</v>
      </c>
      <c r="D44" s="232">
        <v>105837</v>
      </c>
      <c r="E44" s="106">
        <v>109297</v>
      </c>
    </row>
    <row r="45" spans="2:5" x14ac:dyDescent="0.2">
      <c r="B45" s="139" t="s">
        <v>118</v>
      </c>
      <c r="C45" s="232">
        <v>1114707</v>
      </c>
      <c r="D45" s="232">
        <v>1200090</v>
      </c>
      <c r="E45" s="106">
        <v>1207192</v>
      </c>
    </row>
    <row r="46" spans="2:5" x14ac:dyDescent="0.2">
      <c r="B46" s="139" t="s">
        <v>124</v>
      </c>
      <c r="C46" s="232">
        <v>144631</v>
      </c>
      <c r="D46" s="232">
        <v>174500</v>
      </c>
      <c r="E46" s="106">
        <v>178000</v>
      </c>
    </row>
    <row r="47" spans="2:5" x14ac:dyDescent="0.2">
      <c r="B47" s="139" t="s">
        <v>982</v>
      </c>
      <c r="C47" s="232">
        <v>71490</v>
      </c>
      <c r="D47" s="232">
        <v>102625</v>
      </c>
      <c r="E47" s="106">
        <v>102625</v>
      </c>
    </row>
    <row r="48" spans="2:5" x14ac:dyDescent="0.2">
      <c r="B48" s="139" t="s">
        <v>983</v>
      </c>
      <c r="C48" s="232">
        <v>280282</v>
      </c>
      <c r="D48" s="232">
        <v>450222</v>
      </c>
      <c r="E48" s="106">
        <v>480000</v>
      </c>
    </row>
    <row r="49" spans="2:10" x14ac:dyDescent="0.2">
      <c r="B49" s="139" t="s">
        <v>984</v>
      </c>
      <c r="C49" s="232">
        <f>'General Detail'!B84</f>
        <v>67324</v>
      </c>
      <c r="D49" s="232">
        <v>72000</v>
      </c>
      <c r="E49" s="106">
        <v>72000</v>
      </c>
    </row>
    <row r="50" spans="2:10" x14ac:dyDescent="0.2">
      <c r="B50" s="139" t="s">
        <v>985</v>
      </c>
      <c r="C50" s="232">
        <v>136672</v>
      </c>
      <c r="D50" s="232">
        <v>206407</v>
      </c>
      <c r="E50" s="106">
        <v>206407</v>
      </c>
    </row>
    <row r="51" spans="2:10" x14ac:dyDescent="0.2">
      <c r="B51" s="139" t="s">
        <v>986</v>
      </c>
      <c r="C51" s="232">
        <v>12552</v>
      </c>
      <c r="D51" s="232">
        <v>20600</v>
      </c>
      <c r="E51" s="106">
        <v>20600</v>
      </c>
    </row>
    <row r="52" spans="2:10" x14ac:dyDescent="0.2">
      <c r="B52" s="139" t="str">
        <f>'General Detail'!A280</f>
        <v>Other</v>
      </c>
      <c r="C52" s="232">
        <v>151</v>
      </c>
      <c r="D52" s="232">
        <f>'General Detail'!C285</f>
        <v>0</v>
      </c>
      <c r="E52" s="106">
        <f>'General Detail'!D285</f>
        <v>0</v>
      </c>
      <c r="G52" s="265"/>
      <c r="H52" s="265"/>
      <c r="I52" s="265"/>
      <c r="J52" s="265"/>
    </row>
    <row r="53" spans="2:10" x14ac:dyDescent="0.2">
      <c r="B53" s="148" t="s">
        <v>27</v>
      </c>
      <c r="C53" s="248">
        <f>SUM(C39:C52)</f>
        <v>2668705</v>
      </c>
      <c r="D53" s="248">
        <f>SUM(D39:D52)</f>
        <v>3369603</v>
      </c>
      <c r="E53" s="171">
        <f>SUM(E39:E52)</f>
        <v>3514080</v>
      </c>
      <c r="G53" s="633" t="s">
        <v>543</v>
      </c>
      <c r="H53" s="634"/>
      <c r="I53" s="634"/>
      <c r="J53" s="635"/>
    </row>
    <row r="54" spans="2:10" x14ac:dyDescent="0.2">
      <c r="B54" s="150" t="s">
        <v>1066</v>
      </c>
      <c r="C54" s="229"/>
      <c r="D54" s="229"/>
      <c r="E54" s="42">
        <v>59900</v>
      </c>
      <c r="G54" s="636"/>
      <c r="H54" s="637"/>
      <c r="I54" s="637"/>
      <c r="J54" s="638"/>
    </row>
    <row r="55" spans="2:10" x14ac:dyDescent="0.2">
      <c r="B55" s="150"/>
      <c r="C55" s="229"/>
      <c r="D55" s="229"/>
      <c r="E55" s="42"/>
      <c r="G55" s="504">
        <f>'Budget Hearing Notice'!H16</f>
        <v>10.666</v>
      </c>
      <c r="H55" s="310" t="str">
        <f>CONCATENATE("",E1," Estimated Fund Mill Rate")</f>
        <v>2024 Estimated Fund Mill Rate</v>
      </c>
      <c r="I55" s="505"/>
      <c r="J55" s="506"/>
    </row>
    <row r="56" spans="2:10" x14ac:dyDescent="0.2">
      <c r="B56" s="143" t="str">
        <f>CONCATENATE("Cash Forward (",E1," column)")</f>
        <v>Cash Forward (2024 column)</v>
      </c>
      <c r="C56" s="229"/>
      <c r="D56" s="229"/>
      <c r="E56" s="42"/>
      <c r="G56" s="507">
        <f>'Budget Hearing Notice'!E16</f>
        <v>13.987</v>
      </c>
      <c r="H56" s="310" t="str">
        <f>CONCATENATE("",E1-1," Fund Mill Rate")</f>
        <v>2023 Fund Mill Rate</v>
      </c>
      <c r="I56" s="505"/>
      <c r="J56" s="506"/>
    </row>
    <row r="57" spans="2:10" x14ac:dyDescent="0.2">
      <c r="B57" s="143" t="s">
        <v>38</v>
      </c>
      <c r="C57" s="229"/>
      <c r="D57" s="229"/>
      <c r="E57" s="42"/>
      <c r="G57" s="508">
        <f>'Budget Hearing Notice'!H62</f>
        <v>36.917000000000002</v>
      </c>
      <c r="H57" s="509" t="s">
        <v>544</v>
      </c>
      <c r="I57" s="505"/>
      <c r="J57" s="506"/>
    </row>
    <row r="58" spans="2:10" x14ac:dyDescent="0.2">
      <c r="B58" s="143" t="s">
        <v>277</v>
      </c>
      <c r="C58" s="230" t="str">
        <f>IF(C59*0.1&lt;C57,"Exceed 10% Rule","")</f>
        <v/>
      </c>
      <c r="D58" s="230" t="str">
        <f>IF(D59*0.1&lt;D57,"Exceed 10% Rule","")</f>
        <v/>
      </c>
      <c r="E58" s="170" t="str">
        <f>IF(E59*0.1&lt;E57,"Exceed 10% Rule","")</f>
        <v/>
      </c>
      <c r="G58" s="504">
        <f>'Budget Hearing Notice'!H61</f>
        <v>36.917000000000002</v>
      </c>
      <c r="H58" s="310" t="str">
        <f>CONCATENATE(E1," Estimated Total Mill Rate")</f>
        <v>2024 Estimated Total Mill Rate</v>
      </c>
      <c r="I58" s="505"/>
      <c r="J58" s="506"/>
    </row>
    <row r="59" spans="2:10" x14ac:dyDescent="0.2">
      <c r="B59" s="145" t="s">
        <v>93</v>
      </c>
      <c r="C59" s="457">
        <f>SUM(C53:C57)</f>
        <v>2668705</v>
      </c>
      <c r="D59" s="457">
        <f>SUM(D53:D57)</f>
        <v>3369603</v>
      </c>
      <c r="E59" s="457">
        <f>SUM(E53:E57)</f>
        <v>3573980</v>
      </c>
      <c r="G59" s="510">
        <f>'Budget Hearing Notice'!E61</f>
        <v>36.946999999999996</v>
      </c>
      <c r="H59" s="310" t="str">
        <f>CONCATENATE(E1-1," Total Mill Rate")</f>
        <v>2023 Total Mill Rate</v>
      </c>
      <c r="I59" s="505"/>
      <c r="J59" s="506"/>
    </row>
    <row r="60" spans="2:10" x14ac:dyDescent="0.2">
      <c r="B60" s="60" t="s">
        <v>183</v>
      </c>
      <c r="C60" s="106">
        <f>C29-C59</f>
        <v>1579041</v>
      </c>
      <c r="D60" s="106">
        <f>D29-D59</f>
        <v>1300455</v>
      </c>
      <c r="E60" s="86" t="s">
        <v>66</v>
      </c>
      <c r="G60" s="321"/>
      <c r="H60" s="293"/>
      <c r="I60" s="293"/>
      <c r="J60" s="323"/>
    </row>
    <row r="61" spans="2:10" ht="15.75" customHeight="1" x14ac:dyDescent="0.2">
      <c r="B61" s="135" t="str">
        <f>CONCATENATE("",E1-2,"/",E1-1,"/",E1," Budget Authority Amount:")</f>
        <v>2022/2023/2024 Budget Authority Amount:</v>
      </c>
      <c r="C61" s="167">
        <f>inputOth!$B35</f>
        <v>3396257</v>
      </c>
      <c r="D61" s="167">
        <f>inputPrYr!$D17</f>
        <v>3369603</v>
      </c>
      <c r="E61" s="106">
        <f>E59</f>
        <v>3573980</v>
      </c>
      <c r="G61" s="639" t="s">
        <v>545</v>
      </c>
      <c r="H61" s="640"/>
      <c r="I61" s="640"/>
      <c r="J61" s="643" t="str">
        <f>IF(G58&gt;G57, "Yes", "No")</f>
        <v>No</v>
      </c>
    </row>
    <row r="62" spans="2:10" ht="15.75" customHeight="1" x14ac:dyDescent="0.2">
      <c r="B62" s="125"/>
      <c r="C62" s="647" t="s">
        <v>281</v>
      </c>
      <c r="D62" s="648"/>
      <c r="E62" s="42"/>
      <c r="G62" s="641"/>
      <c r="H62" s="642"/>
      <c r="I62" s="642"/>
      <c r="J62" s="644"/>
    </row>
    <row r="63" spans="2:10" x14ac:dyDescent="0.2">
      <c r="B63" s="263" t="str">
        <f>CONCATENATE(C81,"     ",D81)</f>
        <v xml:space="preserve">     </v>
      </c>
      <c r="C63" s="649" t="s">
        <v>282</v>
      </c>
      <c r="D63" s="650"/>
      <c r="E63" s="106">
        <f>E59+E62</f>
        <v>3573980</v>
      </c>
      <c r="G63" s="645" t="str">
        <f>IF(J61="Yes", "Follow procedure prescribed by KSA 79-2988 to exceed the Revenue Neutral Rate.", " ")</f>
        <v xml:space="preserve"> </v>
      </c>
      <c r="H63" s="645"/>
      <c r="I63" s="645"/>
      <c r="J63" s="645"/>
    </row>
    <row r="64" spans="2:10" x14ac:dyDescent="0.2">
      <c r="B64" s="263" t="str">
        <f>CONCATENATE(C82,"     ",D82)</f>
        <v xml:space="preserve">     </v>
      </c>
      <c r="C64" s="152"/>
      <c r="D64" s="90" t="s">
        <v>94</v>
      </c>
      <c r="E64" s="106">
        <f>IF(E63-E29&gt;0,E63-E29,0)</f>
        <v>1681403</v>
      </c>
      <c r="F64" s="151"/>
      <c r="G64" s="646"/>
      <c r="H64" s="646"/>
      <c r="I64" s="646"/>
      <c r="J64" s="646"/>
    </row>
    <row r="65" spans="2:10" x14ac:dyDescent="0.2">
      <c r="B65" s="125"/>
      <c r="C65" s="262" t="s">
        <v>283</v>
      </c>
      <c r="D65" s="291">
        <f>inputOth!$E$28</f>
        <v>5.4000000000000003E-3</v>
      </c>
      <c r="E65" s="106">
        <f>IF(D65&gt;0,(E64*D65),0)</f>
        <v>9079.5762000000013</v>
      </c>
      <c r="F65" s="238" t="str">
        <f>IF(E59/0.95-E59&lt;E62,"Exceeds 5%","")</f>
        <v/>
      </c>
      <c r="G65" s="646"/>
      <c r="H65" s="646"/>
      <c r="I65" s="646"/>
      <c r="J65" s="646"/>
    </row>
    <row r="66" spans="2:10" x14ac:dyDescent="0.2">
      <c r="B66" s="26"/>
      <c r="C66" s="631" t="str">
        <f>CONCATENATE("Amount of  ",$E$1-1," Ad Valorem Tax")</f>
        <v>Amount of  2023 Ad Valorem Tax</v>
      </c>
      <c r="D66" s="632"/>
      <c r="E66" s="106">
        <f>E64+E65</f>
        <v>1690482.5762</v>
      </c>
    </row>
    <row r="67" spans="2:10" x14ac:dyDescent="0.2">
      <c r="B67" s="26"/>
      <c r="C67" s="125"/>
      <c r="D67" s="26"/>
      <c r="E67" s="391"/>
    </row>
    <row r="68" spans="2:10" x14ac:dyDescent="0.2">
      <c r="B68" s="417" t="s">
        <v>341</v>
      </c>
      <c r="C68" s="396"/>
      <c r="D68" s="341"/>
      <c r="E68" s="391"/>
    </row>
    <row r="69" spans="2:10" x14ac:dyDescent="0.2">
      <c r="B69" s="126"/>
      <c r="C69" s="26"/>
      <c r="D69" s="26"/>
      <c r="E69" s="306"/>
    </row>
    <row r="70" spans="2:10" x14ac:dyDescent="0.2">
      <c r="B70" s="397"/>
      <c r="C70" s="44"/>
      <c r="D70" s="44"/>
      <c r="E70" s="47"/>
    </row>
    <row r="71" spans="2:10" x14ac:dyDescent="0.2">
      <c r="B71" s="630" t="s">
        <v>357</v>
      </c>
      <c r="C71" s="630"/>
      <c r="D71" s="630"/>
      <c r="E71" s="630"/>
    </row>
    <row r="81" spans="3:4" hidden="1" x14ac:dyDescent="0.2">
      <c r="C81" s="23" t="str">
        <f>IF(C59&gt;C61,"See Tab A","")</f>
        <v/>
      </c>
      <c r="D81" s="23" t="str">
        <f>IF(D59&gt;D61,"See Tab C","")</f>
        <v/>
      </c>
    </row>
    <row r="82" spans="3:4" hidden="1" x14ac:dyDescent="0.2">
      <c r="C82" s="23" t="str">
        <f>IF(C60&lt;0,"See Tab B","")</f>
        <v/>
      </c>
      <c r="D82" s="23" t="str">
        <f>IF(D60&lt;0,"See Tab D","")</f>
        <v/>
      </c>
    </row>
  </sheetData>
  <mergeCells count="9">
    <mergeCell ref="B31:E31"/>
    <mergeCell ref="B71:E71"/>
    <mergeCell ref="C66:D66"/>
    <mergeCell ref="G53:J54"/>
    <mergeCell ref="G61:I62"/>
    <mergeCell ref="J61:J62"/>
    <mergeCell ref="G63:J65"/>
    <mergeCell ref="C62:D62"/>
    <mergeCell ref="C63:D63"/>
  </mergeCells>
  <phoneticPr fontId="0" type="noConversion"/>
  <conditionalFormatting sqref="E57">
    <cfRule type="cellIs" dxfId="403" priority="7" stopIfTrue="1" operator="greaterThan">
      <formula>$E$59*0.1</formula>
    </cfRule>
  </conditionalFormatting>
  <conditionalFormatting sqref="E62">
    <cfRule type="cellIs" dxfId="402" priority="8" stopIfTrue="1" operator="greaterThan">
      <formula>$E$59/0.95-$E$59</formula>
    </cfRule>
  </conditionalFormatting>
  <conditionalFormatting sqref="D57">
    <cfRule type="cellIs" dxfId="401" priority="9" stopIfTrue="1" operator="greaterThan">
      <formula>$D$59*0.1</formula>
    </cfRule>
  </conditionalFormatting>
  <conditionalFormatting sqref="C57">
    <cfRule type="cellIs" dxfId="400" priority="10" stopIfTrue="1" operator="greaterThan">
      <formula>$C$59*0.1</formula>
    </cfRule>
  </conditionalFormatting>
  <conditionalFormatting sqref="D26">
    <cfRule type="cellIs" dxfId="399" priority="14" stopIfTrue="1" operator="greaterThan">
      <formula>$D$28*0.1</formula>
    </cfRule>
  </conditionalFormatting>
  <conditionalFormatting sqref="C26">
    <cfRule type="cellIs" dxfId="398" priority="15" stopIfTrue="1" operator="greaterThan">
      <formula>$C$28*0.1</formula>
    </cfRule>
  </conditionalFormatting>
  <conditionalFormatting sqref="E26">
    <cfRule type="cellIs" dxfId="397" priority="16" stopIfTrue="1" operator="greaterThan">
      <formula>$E$28*0.1+E66</formula>
    </cfRule>
  </conditionalFormatting>
  <conditionalFormatting sqref="J61">
    <cfRule type="containsText" dxfId="396" priority="5" operator="containsText" text="Yes">
      <formula>NOT(ISERROR(SEARCH("Yes",J61)))</formula>
    </cfRule>
  </conditionalFormatting>
  <conditionalFormatting sqref="C59">
    <cfRule type="cellIs" dxfId="395" priority="3" stopIfTrue="1" operator="greaterThan">
      <formula>$C$61</formula>
    </cfRule>
  </conditionalFormatting>
  <conditionalFormatting sqref="D59">
    <cfRule type="cellIs" dxfId="394" priority="4" stopIfTrue="1" operator="greaterThan">
      <formula>$C$61</formula>
    </cfRule>
  </conditionalFormatting>
  <conditionalFormatting sqref="C60">
    <cfRule type="cellIs" dxfId="393" priority="1" stopIfTrue="1" operator="lessThan">
      <formula>0</formula>
    </cfRule>
  </conditionalFormatting>
  <conditionalFormatting sqref="D60">
    <cfRule type="cellIs" dxfId="392" priority="2" stopIfTrue="1" operator="lessThan">
      <formula>0</formula>
    </cfRule>
  </conditionalFormatting>
  <pageMargins left="1" right="0.5" top="0.81" bottom="0.36" header="0.5" footer="0"/>
  <pageSetup scale="75" fitToHeight="2" orientation="portrait" blackAndWhite="1" r:id="rId1"/>
  <headerFooter alignWithMargins="0">
    <oddHeader xml:space="preserve">&amp;RState of Kansas
County
</oddHeader>
  </headerFooter>
  <rowBreaks count="1" manualBreakCount="1">
    <brk id="30" max="16383" man="1"/>
  </rowBreaks>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D403"/>
  <sheetViews>
    <sheetView zoomScaleNormal="100" workbookViewId="0">
      <selection activeCell="D46" sqref="D46"/>
    </sheetView>
  </sheetViews>
  <sheetFormatPr defaultRowHeight="15.75" x14ac:dyDescent="0.2"/>
  <cols>
    <col min="1" max="1" width="30.77734375" style="23" customWidth="1"/>
    <col min="2" max="2" width="14.44140625" style="23" customWidth="1"/>
    <col min="3" max="3" width="14.77734375" style="23" customWidth="1"/>
    <col min="4" max="4" width="15" style="23" customWidth="1"/>
    <col min="5" max="16384" width="8.88671875" style="23"/>
  </cols>
  <sheetData>
    <row r="1" spans="1:4" x14ac:dyDescent="0.2">
      <c r="A1" s="57" t="str">
        <f>inputPrYr!C3</f>
        <v>Doniphan County</v>
      </c>
      <c r="B1" s="26"/>
      <c r="C1" s="135"/>
      <c r="D1" s="26">
        <f>inputPrYr!C5</f>
        <v>2024</v>
      </c>
    </row>
    <row r="2" spans="1:4" x14ac:dyDescent="0.2">
      <c r="A2" s="26"/>
      <c r="B2" s="26"/>
      <c r="C2" s="26"/>
      <c r="D2" s="135"/>
    </row>
    <row r="3" spans="1:4" x14ac:dyDescent="0.2">
      <c r="A3" s="64" t="s">
        <v>169</v>
      </c>
      <c r="B3" s="147"/>
      <c r="C3" s="147"/>
      <c r="D3" s="147"/>
    </row>
    <row r="4" spans="1:4" x14ac:dyDescent="0.2">
      <c r="A4" s="135" t="s">
        <v>80</v>
      </c>
      <c r="B4" s="619" t="str">
        <f>CONCATENATE("Prior Year Actual for ",D1-2,"")</f>
        <v>Prior Year Actual for 2022</v>
      </c>
      <c r="C4" s="619" t="str">
        <f>CONCATENATE("Current Year Estimate for ",D1-1,"")</f>
        <v>Current Year Estimate for 2023</v>
      </c>
      <c r="D4" s="622" t="str">
        <f>CONCATENATE("Proposed Budget Year for ",D1,"")</f>
        <v>Proposed Budget Year for 2024</v>
      </c>
    </row>
    <row r="5" spans="1:4" x14ac:dyDescent="0.2">
      <c r="A5" s="244" t="s">
        <v>280</v>
      </c>
      <c r="B5" s="621"/>
      <c r="C5" s="621"/>
      <c r="D5" s="624"/>
    </row>
    <row r="6" spans="1:4" x14ac:dyDescent="0.2">
      <c r="A6" s="103" t="s">
        <v>92</v>
      </c>
      <c r="B6" s="50"/>
      <c r="C6" s="50"/>
      <c r="D6" s="50"/>
    </row>
    <row r="7" spans="1:4" x14ac:dyDescent="0.2">
      <c r="A7" s="154" t="s">
        <v>101</v>
      </c>
      <c r="B7" s="50"/>
      <c r="C7" s="50"/>
      <c r="D7" s="50"/>
    </row>
    <row r="8" spans="1:4" x14ac:dyDescent="0.2">
      <c r="A8" s="40" t="s">
        <v>988</v>
      </c>
      <c r="B8" s="140">
        <v>63228</v>
      </c>
      <c r="C8" s="140">
        <v>86530</v>
      </c>
      <c r="D8" s="140">
        <v>117550</v>
      </c>
    </row>
    <row r="9" spans="1:4" x14ac:dyDescent="0.2">
      <c r="A9" s="40" t="s">
        <v>98</v>
      </c>
      <c r="B9" s="140">
        <v>1809</v>
      </c>
      <c r="C9" s="140">
        <v>10000</v>
      </c>
      <c r="D9" s="140">
        <v>10000</v>
      </c>
    </row>
    <row r="10" spans="1:4" x14ac:dyDescent="0.2">
      <c r="A10" s="40" t="s">
        <v>99</v>
      </c>
      <c r="B10" s="140"/>
      <c r="C10" s="140"/>
      <c r="D10" s="140"/>
    </row>
    <row r="11" spans="1:4" x14ac:dyDescent="0.2">
      <c r="A11" s="40" t="s">
        <v>100</v>
      </c>
      <c r="B11" s="140"/>
      <c r="C11" s="140"/>
      <c r="D11" s="140"/>
    </row>
    <row r="12" spans="1:4" x14ac:dyDescent="0.2">
      <c r="A12" s="131"/>
      <c r="B12" s="140"/>
      <c r="C12" s="140"/>
      <c r="D12" s="140"/>
    </row>
    <row r="13" spans="1:4" x14ac:dyDescent="0.2">
      <c r="A13" s="135" t="s">
        <v>54</v>
      </c>
      <c r="B13" s="50">
        <f>SUM(B8:B12)</f>
        <v>65037</v>
      </c>
      <c r="C13" s="50">
        <f>SUM(C8:C12)</f>
        <v>96530</v>
      </c>
      <c r="D13" s="50">
        <f>SUM(D8:D12)</f>
        <v>127550</v>
      </c>
    </row>
    <row r="14" spans="1:4" x14ac:dyDescent="0.2">
      <c r="A14" s="154" t="s">
        <v>69</v>
      </c>
      <c r="B14" s="50"/>
      <c r="C14" s="50"/>
      <c r="D14" s="50"/>
    </row>
    <row r="15" spans="1:4" x14ac:dyDescent="0.2">
      <c r="A15" s="40" t="s">
        <v>989</v>
      </c>
      <c r="B15" s="140">
        <v>164407</v>
      </c>
      <c r="C15" s="140">
        <v>194534</v>
      </c>
      <c r="D15" s="140">
        <v>200000</v>
      </c>
    </row>
    <row r="16" spans="1:4" x14ac:dyDescent="0.2">
      <c r="A16" s="40" t="s">
        <v>98</v>
      </c>
      <c r="B16" s="140">
        <v>30743</v>
      </c>
      <c r="C16" s="140">
        <v>30000</v>
      </c>
      <c r="D16" s="140">
        <v>30000</v>
      </c>
    </row>
    <row r="17" spans="1:4" x14ac:dyDescent="0.2">
      <c r="A17" s="40" t="s">
        <v>99</v>
      </c>
      <c r="B17" s="140">
        <v>1668</v>
      </c>
      <c r="C17" s="140">
        <v>15000</v>
      </c>
      <c r="D17" s="140">
        <v>15000</v>
      </c>
    </row>
    <row r="18" spans="1:4" x14ac:dyDescent="0.2">
      <c r="A18" s="40" t="s">
        <v>100</v>
      </c>
      <c r="B18" s="140">
        <v>715</v>
      </c>
      <c r="C18" s="140">
        <v>7000</v>
      </c>
      <c r="D18" s="140">
        <v>7000</v>
      </c>
    </row>
    <row r="19" spans="1:4" x14ac:dyDescent="0.2">
      <c r="A19" s="135" t="s">
        <v>54</v>
      </c>
      <c r="B19" s="50">
        <f>SUM(B15:B18)</f>
        <v>197533</v>
      </c>
      <c r="C19" s="50">
        <f>SUM(C15:C18)</f>
        <v>246534</v>
      </c>
      <c r="D19" s="50">
        <f>SUM(D15:D18)</f>
        <v>252000</v>
      </c>
    </row>
    <row r="20" spans="1:4" x14ac:dyDescent="0.2">
      <c r="A20" s="154" t="s">
        <v>102</v>
      </c>
      <c r="B20" s="50"/>
      <c r="C20" s="50"/>
      <c r="D20" s="50"/>
    </row>
    <row r="21" spans="1:4" x14ac:dyDescent="0.2">
      <c r="A21" s="40" t="s">
        <v>989</v>
      </c>
      <c r="B21" s="140">
        <v>157485</v>
      </c>
      <c r="C21" s="140">
        <v>241750</v>
      </c>
      <c r="D21" s="140">
        <v>282000</v>
      </c>
    </row>
    <row r="22" spans="1:4" x14ac:dyDescent="0.2">
      <c r="A22" s="40" t="s">
        <v>98</v>
      </c>
      <c r="B22" s="140">
        <v>15011</v>
      </c>
      <c r="C22" s="140">
        <v>38000</v>
      </c>
      <c r="D22" s="140">
        <v>42000</v>
      </c>
    </row>
    <row r="23" spans="1:4" x14ac:dyDescent="0.2">
      <c r="A23" s="40" t="s">
        <v>99</v>
      </c>
      <c r="B23" s="140"/>
      <c r="C23" s="140">
        <v>2000</v>
      </c>
      <c r="D23" s="140">
        <v>2000</v>
      </c>
    </row>
    <row r="24" spans="1:4" x14ac:dyDescent="0.2">
      <c r="A24" s="40" t="s">
        <v>100</v>
      </c>
      <c r="B24" s="140">
        <v>11555</v>
      </c>
      <c r="C24" s="140">
        <v>11000</v>
      </c>
      <c r="D24" s="140">
        <v>15000</v>
      </c>
    </row>
    <row r="25" spans="1:4" x14ac:dyDescent="0.2">
      <c r="A25" s="135" t="s">
        <v>54</v>
      </c>
      <c r="B25" s="50">
        <f>SUM(B21:B24)</f>
        <v>184051</v>
      </c>
      <c r="C25" s="50">
        <f>SUM(C21:C24)</f>
        <v>292750</v>
      </c>
      <c r="D25" s="50">
        <f>SUM(D21:D24)</f>
        <v>341000</v>
      </c>
    </row>
    <row r="26" spans="1:4" x14ac:dyDescent="0.2">
      <c r="A26" s="154" t="s">
        <v>78</v>
      </c>
      <c r="B26" s="50"/>
      <c r="C26" s="50"/>
      <c r="D26" s="50"/>
    </row>
    <row r="27" spans="1:4" x14ac:dyDescent="0.2">
      <c r="A27" s="40" t="s">
        <v>988</v>
      </c>
      <c r="B27" s="140"/>
      <c r="C27" s="140"/>
      <c r="D27" s="140"/>
    </row>
    <row r="28" spans="1:4" x14ac:dyDescent="0.2">
      <c r="A28" s="40" t="s">
        <v>98</v>
      </c>
      <c r="B28" s="140">
        <v>73384</v>
      </c>
      <c r="C28" s="140">
        <v>79403</v>
      </c>
      <c r="D28" s="140">
        <v>91965</v>
      </c>
    </row>
    <row r="29" spans="1:4" x14ac:dyDescent="0.2">
      <c r="A29" s="40" t="s">
        <v>99</v>
      </c>
      <c r="B29" s="140">
        <v>5824</v>
      </c>
      <c r="C29" s="140">
        <v>4316</v>
      </c>
      <c r="D29" s="140">
        <v>5955</v>
      </c>
    </row>
    <row r="30" spans="1:4" x14ac:dyDescent="0.2">
      <c r="A30" s="40" t="s">
        <v>100</v>
      </c>
      <c r="B30" s="140">
        <v>894</v>
      </c>
      <c r="C30" s="140">
        <v>1800</v>
      </c>
      <c r="D30" s="140">
        <v>3500</v>
      </c>
    </row>
    <row r="31" spans="1:4" x14ac:dyDescent="0.2">
      <c r="A31" s="135" t="s">
        <v>54</v>
      </c>
      <c r="B31" s="50">
        <f>SUM(B27:B30)</f>
        <v>80102</v>
      </c>
      <c r="C31" s="50">
        <f>SUM(C27:C30)</f>
        <v>85519</v>
      </c>
      <c r="D31" s="50">
        <f>SUM(D27:D30)</f>
        <v>101420</v>
      </c>
    </row>
    <row r="32" spans="1:4" x14ac:dyDescent="0.2">
      <c r="A32" s="154" t="s">
        <v>980</v>
      </c>
      <c r="B32" s="50"/>
      <c r="C32" s="50"/>
      <c r="D32" s="50"/>
    </row>
    <row r="33" spans="1:4" x14ac:dyDescent="0.2">
      <c r="A33" s="40" t="s">
        <v>988</v>
      </c>
      <c r="B33" s="140">
        <v>227597</v>
      </c>
      <c r="C33" s="140">
        <v>266939</v>
      </c>
      <c r="D33" s="140">
        <v>266939</v>
      </c>
    </row>
    <row r="34" spans="1:4" x14ac:dyDescent="0.2">
      <c r="A34" s="40" t="s">
        <v>98</v>
      </c>
      <c r="B34" s="140">
        <v>9811</v>
      </c>
      <c r="C34" s="140">
        <v>5000</v>
      </c>
      <c r="D34" s="140">
        <v>5000</v>
      </c>
    </row>
    <row r="35" spans="1:4" x14ac:dyDescent="0.2">
      <c r="A35" s="40" t="s">
        <v>99</v>
      </c>
      <c r="B35" s="140">
        <v>1714</v>
      </c>
      <c r="C35" s="140">
        <v>6050</v>
      </c>
      <c r="D35" s="140">
        <v>6050</v>
      </c>
    </row>
    <row r="36" spans="1:4" x14ac:dyDescent="0.2">
      <c r="A36" s="142" t="s">
        <v>100</v>
      </c>
      <c r="B36" s="140"/>
      <c r="C36" s="140">
        <v>38000</v>
      </c>
      <c r="D36" s="140">
        <v>38000</v>
      </c>
    </row>
    <row r="37" spans="1:4" x14ac:dyDescent="0.2">
      <c r="A37" s="135" t="s">
        <v>54</v>
      </c>
      <c r="B37" s="50">
        <f>SUM(B33:B36)</f>
        <v>239122</v>
      </c>
      <c r="C37" s="50">
        <f>SUM(C33:C36)</f>
        <v>315989</v>
      </c>
      <c r="D37" s="50">
        <f>SUM(D33:D36)</f>
        <v>315989</v>
      </c>
    </row>
    <row r="38" spans="1:4" x14ac:dyDescent="0.2">
      <c r="A38" s="154" t="s">
        <v>981</v>
      </c>
      <c r="B38" s="50"/>
      <c r="C38" s="50"/>
      <c r="D38" s="50"/>
    </row>
    <row r="39" spans="1:4" x14ac:dyDescent="0.2">
      <c r="A39" s="40" t="s">
        <v>989</v>
      </c>
      <c r="B39" s="140">
        <v>71550</v>
      </c>
      <c r="C39" s="140">
        <v>74342</v>
      </c>
      <c r="D39" s="140">
        <v>77802</v>
      </c>
    </row>
    <row r="40" spans="1:4" x14ac:dyDescent="0.2">
      <c r="A40" s="40" t="s">
        <v>98</v>
      </c>
      <c r="B40" s="140">
        <v>2856</v>
      </c>
      <c r="C40" s="140">
        <v>9870</v>
      </c>
      <c r="D40" s="140">
        <v>10370</v>
      </c>
    </row>
    <row r="41" spans="1:4" x14ac:dyDescent="0.2">
      <c r="A41" s="40" t="s">
        <v>99</v>
      </c>
      <c r="B41" s="140"/>
      <c r="C41" s="140">
        <v>625</v>
      </c>
      <c r="D41" s="140">
        <v>375</v>
      </c>
    </row>
    <row r="42" spans="1:4" x14ac:dyDescent="0.2">
      <c r="A42" s="40" t="s">
        <v>100</v>
      </c>
      <c r="B42" s="140">
        <v>796</v>
      </c>
      <c r="C42" s="140">
        <v>21000</v>
      </c>
      <c r="D42" s="140">
        <v>20750</v>
      </c>
    </row>
    <row r="43" spans="1:4" x14ac:dyDescent="0.2">
      <c r="A43" s="135" t="s">
        <v>54</v>
      </c>
      <c r="B43" s="50">
        <f>SUM(B39:B42)</f>
        <v>75202</v>
      </c>
      <c r="C43" s="50">
        <f>SUM(C39:C42)</f>
        <v>105837</v>
      </c>
      <c r="D43" s="50">
        <f>SUM(D39:D42)</f>
        <v>109297</v>
      </c>
    </row>
    <row r="44" spans="1:4" x14ac:dyDescent="0.2">
      <c r="A44" s="154" t="s">
        <v>118</v>
      </c>
      <c r="B44" s="50"/>
      <c r="C44" s="50"/>
      <c r="D44" s="50"/>
    </row>
    <row r="45" spans="1:4" x14ac:dyDescent="0.2">
      <c r="A45" s="40" t="s">
        <v>989</v>
      </c>
      <c r="B45" s="140">
        <v>724968</v>
      </c>
      <c r="C45" s="140">
        <v>750090</v>
      </c>
      <c r="D45" s="140">
        <v>757192</v>
      </c>
    </row>
    <row r="46" spans="1:4" x14ac:dyDescent="0.2">
      <c r="A46" s="40" t="s">
        <v>98</v>
      </c>
      <c r="B46" s="140">
        <v>268289</v>
      </c>
      <c r="C46" s="140">
        <v>300000</v>
      </c>
      <c r="D46" s="140">
        <v>300000</v>
      </c>
    </row>
    <row r="47" spans="1:4" x14ac:dyDescent="0.2">
      <c r="A47" s="40" t="s">
        <v>99</v>
      </c>
      <c r="B47" s="140">
        <v>8707</v>
      </c>
      <c r="C47" s="140">
        <v>110000</v>
      </c>
      <c r="D47" s="140">
        <v>110000</v>
      </c>
    </row>
    <row r="48" spans="1:4" x14ac:dyDescent="0.2">
      <c r="A48" s="40" t="s">
        <v>100</v>
      </c>
      <c r="B48" s="140">
        <v>112743</v>
      </c>
      <c r="C48" s="140">
        <v>40000</v>
      </c>
      <c r="D48" s="140">
        <v>40000</v>
      </c>
    </row>
    <row r="49" spans="1:4" x14ac:dyDescent="0.2">
      <c r="A49" s="135" t="s">
        <v>54</v>
      </c>
      <c r="B49" s="50">
        <f>SUM(B45:B48)</f>
        <v>1114707</v>
      </c>
      <c r="C49" s="50">
        <f>SUM(C45:C48)</f>
        <v>1200090</v>
      </c>
      <c r="D49" s="50">
        <f>SUM(D45:D48)</f>
        <v>1207192</v>
      </c>
    </row>
    <row r="50" spans="1:4" x14ac:dyDescent="0.2">
      <c r="A50" s="154" t="s">
        <v>124</v>
      </c>
      <c r="B50" s="50"/>
      <c r="C50" s="50"/>
      <c r="D50" s="50"/>
    </row>
    <row r="51" spans="1:4" x14ac:dyDescent="0.2">
      <c r="A51" s="40" t="s">
        <v>989</v>
      </c>
      <c r="B51" s="140">
        <v>104005</v>
      </c>
      <c r="C51" s="140">
        <v>119500</v>
      </c>
      <c r="D51" s="140">
        <v>123000</v>
      </c>
    </row>
    <row r="52" spans="1:4" x14ac:dyDescent="0.2">
      <c r="A52" s="40" t="s">
        <v>98</v>
      </c>
      <c r="B52" s="140">
        <v>40626</v>
      </c>
      <c r="C52" s="140">
        <v>55000</v>
      </c>
      <c r="D52" s="140">
        <v>55000</v>
      </c>
    </row>
    <row r="53" spans="1:4" x14ac:dyDescent="0.2">
      <c r="A53" s="40" t="s">
        <v>99</v>
      </c>
      <c r="B53" s="140"/>
      <c r="C53" s="140"/>
      <c r="D53" s="140"/>
    </row>
    <row r="54" spans="1:4" x14ac:dyDescent="0.2">
      <c r="A54" s="40" t="s">
        <v>100</v>
      </c>
      <c r="B54" s="140"/>
      <c r="C54" s="140"/>
      <c r="D54" s="140"/>
    </row>
    <row r="55" spans="1:4" x14ac:dyDescent="0.2">
      <c r="A55" s="135" t="s">
        <v>54</v>
      </c>
      <c r="B55" s="50">
        <f>SUM(B51:B54)</f>
        <v>144631</v>
      </c>
      <c r="C55" s="50">
        <f>SUM(C51:C54)</f>
        <v>174500</v>
      </c>
      <c r="D55" s="50">
        <f>SUM(D51:D54)</f>
        <v>178000</v>
      </c>
    </row>
    <row r="56" spans="1:4" x14ac:dyDescent="0.2">
      <c r="A56" s="26"/>
      <c r="B56" s="50"/>
      <c r="C56" s="50"/>
      <c r="D56" s="50"/>
    </row>
    <row r="57" spans="1:4" x14ac:dyDescent="0.2">
      <c r="A57" s="135" t="s">
        <v>351</v>
      </c>
      <c r="B57" s="512">
        <f>B13+B19+B25+B31+B37+B43+B49+B55</f>
        <v>2100385</v>
      </c>
      <c r="C57" s="512">
        <f>C13+C19+C25+C31+C37+C43+C49+C55</f>
        <v>2517749</v>
      </c>
      <c r="D57" s="512">
        <f>D13+D19+D25+D31+D37+D43+D49+D55</f>
        <v>2632448</v>
      </c>
    </row>
    <row r="58" spans="1:4" x14ac:dyDescent="0.2">
      <c r="A58" s="26"/>
      <c r="B58" s="57"/>
      <c r="C58" s="57"/>
      <c r="D58" s="57"/>
    </row>
    <row r="59" spans="1:4" x14ac:dyDescent="0.2">
      <c r="A59" s="600" t="s">
        <v>346</v>
      </c>
      <c r="B59" s="600"/>
      <c r="C59" s="600"/>
      <c r="D59" s="600"/>
    </row>
    <row r="60" spans="1:4" x14ac:dyDescent="0.2">
      <c r="A60" s="26"/>
      <c r="B60" s="57"/>
      <c r="C60" s="57"/>
      <c r="D60" s="57"/>
    </row>
    <row r="61" spans="1:4" x14ac:dyDescent="0.2">
      <c r="A61" s="57" t="str">
        <f>inputPrYr!C3</f>
        <v>Doniphan County</v>
      </c>
      <c r="B61" s="57"/>
      <c r="C61" s="25"/>
      <c r="D61" s="26">
        <f>D1</f>
        <v>2024</v>
      </c>
    </row>
    <row r="62" spans="1:4" x14ac:dyDescent="0.2">
      <c r="A62" s="26"/>
      <c r="B62" s="57"/>
      <c r="C62" s="57"/>
      <c r="D62" s="25"/>
    </row>
    <row r="63" spans="1:4" x14ac:dyDescent="0.2">
      <c r="A63" s="146" t="s">
        <v>168</v>
      </c>
      <c r="B63" s="155"/>
      <c r="C63" s="155"/>
      <c r="D63" s="155"/>
    </row>
    <row r="64" spans="1:4" x14ac:dyDescent="0.2">
      <c r="A64" s="26" t="s">
        <v>80</v>
      </c>
      <c r="B64" s="619" t="str">
        <f>CONCATENATE("Prior Year Actual for ",D61-2,"")</f>
        <v>Prior Year Actual for 2022</v>
      </c>
      <c r="C64" s="619" t="str">
        <f>CONCATENATE("Current Year Estimate for ",D61-1,"")</f>
        <v>Current Year Estimate for 2023</v>
      </c>
      <c r="D64" s="622" t="str">
        <f>CONCATENATE("Proposed Budget Year for ",D61,"")</f>
        <v>Proposed Budget Year for 2024</v>
      </c>
    </row>
    <row r="65" spans="1:4" x14ac:dyDescent="0.2">
      <c r="A65" s="44" t="s">
        <v>96</v>
      </c>
      <c r="B65" s="621"/>
      <c r="C65" s="621"/>
      <c r="D65" s="624"/>
    </row>
    <row r="66" spans="1:4" x14ac:dyDescent="0.2">
      <c r="A66" s="135" t="s">
        <v>92</v>
      </c>
      <c r="B66" s="50"/>
      <c r="C66" s="50"/>
      <c r="D66" s="50"/>
    </row>
    <row r="67" spans="1:4" x14ac:dyDescent="0.2">
      <c r="A67" s="154" t="s">
        <v>982</v>
      </c>
      <c r="B67" s="50"/>
      <c r="C67" s="50"/>
      <c r="D67" s="50"/>
    </row>
    <row r="68" spans="1:4" x14ac:dyDescent="0.2">
      <c r="A68" s="40" t="s">
        <v>988</v>
      </c>
      <c r="B68" s="140">
        <v>65656</v>
      </c>
      <c r="C68" s="140">
        <v>90325</v>
      </c>
      <c r="D68" s="140">
        <v>90325</v>
      </c>
    </row>
    <row r="69" spans="1:4" x14ac:dyDescent="0.2">
      <c r="A69" s="40" t="s">
        <v>98</v>
      </c>
      <c r="B69" s="140">
        <v>3161</v>
      </c>
      <c r="C69" s="140">
        <v>2000</v>
      </c>
      <c r="D69" s="140">
        <v>4000</v>
      </c>
    </row>
    <row r="70" spans="1:4" x14ac:dyDescent="0.2">
      <c r="A70" s="40" t="s">
        <v>99</v>
      </c>
      <c r="B70" s="140">
        <v>2570</v>
      </c>
      <c r="C70" s="140">
        <v>6800</v>
      </c>
      <c r="D70" s="140">
        <v>4800</v>
      </c>
    </row>
    <row r="71" spans="1:4" x14ac:dyDescent="0.2">
      <c r="A71" s="40" t="s">
        <v>100</v>
      </c>
      <c r="B71" s="140">
        <v>103</v>
      </c>
      <c r="C71" s="140">
        <v>3500</v>
      </c>
      <c r="D71" s="140">
        <v>3500</v>
      </c>
    </row>
    <row r="72" spans="1:4" x14ac:dyDescent="0.2">
      <c r="A72" s="156" t="s">
        <v>54</v>
      </c>
      <c r="B72" s="50">
        <f>SUM(B68:B71)</f>
        <v>71490</v>
      </c>
      <c r="C72" s="50">
        <f>SUM(C68:C71)</f>
        <v>102625</v>
      </c>
      <c r="D72" s="50">
        <f>SUM(D68:D71)</f>
        <v>102625</v>
      </c>
    </row>
    <row r="73" spans="1:4" x14ac:dyDescent="0.2">
      <c r="A73" s="154" t="s">
        <v>983</v>
      </c>
      <c r="B73" s="50"/>
      <c r="C73" s="50"/>
      <c r="D73" s="50"/>
    </row>
    <row r="74" spans="1:4" x14ac:dyDescent="0.2">
      <c r="A74" s="40" t="s">
        <v>988</v>
      </c>
      <c r="B74" s="140">
        <v>64808</v>
      </c>
      <c r="C74" s="140">
        <v>80000</v>
      </c>
      <c r="D74" s="140">
        <v>80000</v>
      </c>
    </row>
    <row r="75" spans="1:4" x14ac:dyDescent="0.2">
      <c r="A75" s="40" t="s">
        <v>98</v>
      </c>
      <c r="B75" s="140">
        <v>209474</v>
      </c>
      <c r="C75" s="140">
        <v>300000</v>
      </c>
      <c r="D75" s="140">
        <v>325000</v>
      </c>
    </row>
    <row r="76" spans="1:4" x14ac:dyDescent="0.2">
      <c r="A76" s="40" t="s">
        <v>99</v>
      </c>
      <c r="B76" s="140"/>
      <c r="C76" s="140">
        <v>70222</v>
      </c>
      <c r="D76" s="140">
        <v>75000</v>
      </c>
    </row>
    <row r="77" spans="1:4" x14ac:dyDescent="0.2">
      <c r="A77" s="40" t="s">
        <v>100</v>
      </c>
      <c r="B77" s="140">
        <v>6000</v>
      </c>
      <c r="C77" s="140"/>
      <c r="D77" s="140"/>
    </row>
    <row r="78" spans="1:4" x14ac:dyDescent="0.2">
      <c r="A78" s="135" t="s">
        <v>54</v>
      </c>
      <c r="B78" s="50">
        <f>SUM(B74:B77)</f>
        <v>280282</v>
      </c>
      <c r="C78" s="50">
        <f>SUM(C74:C77)</f>
        <v>450222</v>
      </c>
      <c r="D78" s="50">
        <f>SUM(D74:D77)</f>
        <v>480000</v>
      </c>
    </row>
    <row r="79" spans="1:4" x14ac:dyDescent="0.2">
      <c r="A79" s="154" t="s">
        <v>984</v>
      </c>
      <c r="B79" s="50"/>
      <c r="C79" s="50"/>
      <c r="D79" s="50"/>
    </row>
    <row r="80" spans="1:4" x14ac:dyDescent="0.2">
      <c r="A80" s="40" t="s">
        <v>988</v>
      </c>
      <c r="B80" s="140">
        <v>56004</v>
      </c>
      <c r="C80" s="140">
        <v>65000</v>
      </c>
      <c r="D80" s="140">
        <v>65000</v>
      </c>
    </row>
    <row r="81" spans="1:4" x14ac:dyDescent="0.2">
      <c r="A81" s="40" t="s">
        <v>98</v>
      </c>
      <c r="B81" s="140">
        <v>7286</v>
      </c>
      <c r="C81" s="140">
        <v>5000</v>
      </c>
      <c r="D81" s="140">
        <v>5000</v>
      </c>
    </row>
    <row r="82" spans="1:4" x14ac:dyDescent="0.2">
      <c r="A82" s="40" t="s">
        <v>99</v>
      </c>
      <c r="B82" s="140">
        <v>4034</v>
      </c>
      <c r="C82" s="140">
        <v>2000</v>
      </c>
      <c r="D82" s="140">
        <v>2000</v>
      </c>
    </row>
    <row r="83" spans="1:4" x14ac:dyDescent="0.2">
      <c r="A83" s="40" t="s">
        <v>100</v>
      </c>
      <c r="B83" s="140"/>
      <c r="C83" s="140"/>
      <c r="D83" s="140"/>
    </row>
    <row r="84" spans="1:4" x14ac:dyDescent="0.2">
      <c r="A84" s="135" t="s">
        <v>54</v>
      </c>
      <c r="B84" s="50">
        <f>SUM(B80:B83)</f>
        <v>67324</v>
      </c>
      <c r="C84" s="50">
        <f>SUM(C80:C83)</f>
        <v>72000</v>
      </c>
      <c r="D84" s="50">
        <f>SUM(D80:D83)</f>
        <v>72000</v>
      </c>
    </row>
    <row r="85" spans="1:4" x14ac:dyDescent="0.2">
      <c r="A85" s="154" t="s">
        <v>985</v>
      </c>
      <c r="B85" s="50"/>
      <c r="C85" s="50"/>
      <c r="D85" s="50"/>
    </row>
    <row r="86" spans="1:4" x14ac:dyDescent="0.2">
      <c r="A86" s="40" t="s">
        <v>988</v>
      </c>
      <c r="B86" s="140">
        <v>125638</v>
      </c>
      <c r="C86" s="140">
        <v>195407</v>
      </c>
      <c r="D86" s="140">
        <v>195407</v>
      </c>
    </row>
    <row r="87" spans="1:4" x14ac:dyDescent="0.2">
      <c r="A87" s="40" t="s">
        <v>98</v>
      </c>
      <c r="B87" s="140">
        <v>11034</v>
      </c>
      <c r="C87" s="140">
        <v>4000</v>
      </c>
      <c r="D87" s="140">
        <v>4000</v>
      </c>
    </row>
    <row r="88" spans="1:4" x14ac:dyDescent="0.2">
      <c r="A88" s="40" t="s">
        <v>99</v>
      </c>
      <c r="B88" s="140"/>
      <c r="C88" s="140">
        <v>4000</v>
      </c>
      <c r="D88" s="140">
        <v>4000</v>
      </c>
    </row>
    <row r="89" spans="1:4" x14ac:dyDescent="0.2">
      <c r="A89" s="131" t="s">
        <v>100</v>
      </c>
      <c r="B89" s="140"/>
      <c r="C89" s="140">
        <v>3000</v>
      </c>
      <c r="D89" s="140">
        <v>3000</v>
      </c>
    </row>
    <row r="90" spans="1:4" x14ac:dyDescent="0.2">
      <c r="A90" s="135" t="s">
        <v>54</v>
      </c>
      <c r="B90" s="50">
        <f>SUM(B86:B89)</f>
        <v>136672</v>
      </c>
      <c r="C90" s="50">
        <f>SUM(C86:C89)</f>
        <v>206407</v>
      </c>
      <c r="D90" s="50">
        <f>SUM(D86:D89)</f>
        <v>206407</v>
      </c>
    </row>
    <row r="91" spans="1:4" x14ac:dyDescent="0.2">
      <c r="A91" s="154" t="s">
        <v>990</v>
      </c>
      <c r="B91" s="50"/>
      <c r="C91" s="50"/>
      <c r="D91" s="50"/>
    </row>
    <row r="92" spans="1:4" x14ac:dyDescent="0.2">
      <c r="A92" s="40" t="s">
        <v>989</v>
      </c>
      <c r="B92" s="140">
        <v>600</v>
      </c>
      <c r="C92" s="140">
        <v>600</v>
      </c>
      <c r="D92" s="140">
        <v>600</v>
      </c>
    </row>
    <row r="93" spans="1:4" x14ac:dyDescent="0.2">
      <c r="A93" s="40" t="s">
        <v>98</v>
      </c>
      <c r="B93" s="140">
        <v>11952</v>
      </c>
      <c r="C93" s="140">
        <v>20000</v>
      </c>
      <c r="D93" s="140">
        <v>20000</v>
      </c>
    </row>
    <row r="94" spans="1:4" x14ac:dyDescent="0.2">
      <c r="A94" s="40" t="s">
        <v>99</v>
      </c>
      <c r="B94" s="140"/>
      <c r="C94" s="140"/>
      <c r="D94" s="140"/>
    </row>
    <row r="95" spans="1:4" x14ac:dyDescent="0.2">
      <c r="A95" s="40" t="s">
        <v>100</v>
      </c>
      <c r="B95" s="140"/>
      <c r="C95" s="140"/>
      <c r="D95" s="140"/>
    </row>
    <row r="96" spans="1:4" x14ac:dyDescent="0.2">
      <c r="A96" s="135" t="s">
        <v>54</v>
      </c>
      <c r="B96" s="50">
        <f>SUM(B92:B95)</f>
        <v>12552</v>
      </c>
      <c r="C96" s="50">
        <f>SUM(C92:C95)</f>
        <v>20600</v>
      </c>
      <c r="D96" s="50">
        <f>SUM(D92:D95)</f>
        <v>20600</v>
      </c>
    </row>
    <row r="97" spans="1:4" x14ac:dyDescent="0.2">
      <c r="A97" s="154"/>
      <c r="B97" s="50"/>
      <c r="C97" s="50"/>
      <c r="D97" s="50"/>
    </row>
    <row r="98" spans="1:4" x14ac:dyDescent="0.2">
      <c r="A98" s="40"/>
      <c r="B98" s="140"/>
      <c r="C98" s="140"/>
      <c r="D98" s="140"/>
    </row>
    <row r="99" spans="1:4" x14ac:dyDescent="0.2">
      <c r="A99" s="40"/>
      <c r="B99" s="140"/>
      <c r="C99" s="140"/>
      <c r="D99" s="140"/>
    </row>
    <row r="100" spans="1:4" x14ac:dyDescent="0.2">
      <c r="A100" s="40"/>
      <c r="B100" s="140"/>
      <c r="C100" s="140"/>
      <c r="D100" s="140"/>
    </row>
    <row r="101" spans="1:4" x14ac:dyDescent="0.2">
      <c r="A101" s="40"/>
      <c r="B101" s="140"/>
      <c r="C101" s="140"/>
      <c r="D101" s="140"/>
    </row>
    <row r="102" spans="1:4" x14ac:dyDescent="0.2">
      <c r="A102" s="135" t="s">
        <v>54</v>
      </c>
      <c r="B102" s="50">
        <f>SUM(B98:B101)</f>
        <v>0</v>
      </c>
      <c r="C102" s="50">
        <f>SUM(C98:C101)</f>
        <v>0</v>
      </c>
      <c r="D102" s="50">
        <f>SUM(D98:D101)</f>
        <v>0</v>
      </c>
    </row>
    <row r="103" spans="1:4" x14ac:dyDescent="0.2">
      <c r="A103" s="154"/>
      <c r="B103" s="50"/>
      <c r="C103" s="50"/>
      <c r="D103" s="50"/>
    </row>
    <row r="104" spans="1:4" x14ac:dyDescent="0.2">
      <c r="A104" s="40"/>
      <c r="B104" s="140"/>
      <c r="C104" s="140"/>
      <c r="D104" s="140"/>
    </row>
    <row r="105" spans="1:4" x14ac:dyDescent="0.2">
      <c r="A105" s="40"/>
      <c r="B105" s="140"/>
      <c r="C105" s="140"/>
      <c r="D105" s="140"/>
    </row>
    <row r="106" spans="1:4" x14ac:dyDescent="0.2">
      <c r="A106" s="40"/>
      <c r="B106" s="140"/>
      <c r="C106" s="140"/>
      <c r="D106" s="140"/>
    </row>
    <row r="107" spans="1:4" x14ac:dyDescent="0.2">
      <c r="A107" s="40"/>
      <c r="B107" s="140"/>
      <c r="C107" s="140"/>
      <c r="D107" s="140"/>
    </row>
    <row r="108" spans="1:4" x14ac:dyDescent="0.2">
      <c r="A108" s="135" t="s">
        <v>54</v>
      </c>
      <c r="B108" s="50">
        <f>SUM(B104:B107)</f>
        <v>0</v>
      </c>
      <c r="C108" s="50">
        <f>SUM(C104:C107)</f>
        <v>0</v>
      </c>
      <c r="D108" s="50">
        <f>SUM(D104:D107)</f>
        <v>0</v>
      </c>
    </row>
    <row r="109" spans="1:4" x14ac:dyDescent="0.2">
      <c r="A109" s="154"/>
      <c r="B109" s="50"/>
      <c r="C109" s="50"/>
      <c r="D109" s="50"/>
    </row>
    <row r="110" spans="1:4" x14ac:dyDescent="0.2">
      <c r="A110" s="40"/>
      <c r="B110" s="140"/>
      <c r="C110" s="140"/>
      <c r="D110" s="140"/>
    </row>
    <row r="111" spans="1:4" x14ac:dyDescent="0.2">
      <c r="A111" s="40"/>
      <c r="B111" s="140"/>
      <c r="C111" s="140"/>
      <c r="D111" s="140"/>
    </row>
    <row r="112" spans="1:4" x14ac:dyDescent="0.2">
      <c r="A112" s="40"/>
      <c r="B112" s="140"/>
      <c r="C112" s="140"/>
      <c r="D112" s="140"/>
    </row>
    <row r="113" spans="1:4" x14ac:dyDescent="0.2">
      <c r="A113" s="40"/>
      <c r="B113" s="140"/>
      <c r="C113" s="140"/>
      <c r="D113" s="140"/>
    </row>
    <row r="114" spans="1:4" x14ac:dyDescent="0.2">
      <c r="A114" s="135" t="s">
        <v>54</v>
      </c>
      <c r="B114" s="50">
        <f>SUM(B110:B113)</f>
        <v>0</v>
      </c>
      <c r="C114" s="50">
        <f>SUM(C110:C113)</f>
        <v>0</v>
      </c>
      <c r="D114" s="50">
        <f>SUM(D110:D113)</f>
        <v>0</v>
      </c>
    </row>
    <row r="115" spans="1:4" x14ac:dyDescent="0.2">
      <c r="A115" s="26"/>
      <c r="B115" s="50"/>
      <c r="C115" s="50"/>
      <c r="D115" s="50"/>
    </row>
    <row r="116" spans="1:4" x14ac:dyDescent="0.2">
      <c r="A116" s="135" t="s">
        <v>350</v>
      </c>
      <c r="B116" s="512">
        <f>B72+B78+B84+B90+B96+B102+B108+B114</f>
        <v>568320</v>
      </c>
      <c r="C116" s="512">
        <f>C72+C78+C84+C90+C96+C102+C108+C114</f>
        <v>851854</v>
      </c>
      <c r="D116" s="512">
        <f>D72+D78+D84+D90+D96+D102+D108+D114</f>
        <v>881632</v>
      </c>
    </row>
    <row r="117" spans="1:4" x14ac:dyDescent="0.2">
      <c r="A117" s="26"/>
      <c r="B117" s="57"/>
      <c r="C117" s="57"/>
      <c r="D117" s="57"/>
    </row>
    <row r="118" spans="1:4" x14ac:dyDescent="0.2">
      <c r="A118" s="600" t="s">
        <v>347</v>
      </c>
      <c r="B118" s="600"/>
      <c r="C118" s="600"/>
      <c r="D118" s="600"/>
    </row>
    <row r="119" spans="1:4" x14ac:dyDescent="0.2">
      <c r="A119" s="57" t="str">
        <f>inputPrYr!C3</f>
        <v>Doniphan County</v>
      </c>
      <c r="B119" s="57"/>
      <c r="C119" s="25"/>
      <c r="D119" s="26">
        <f>D1</f>
        <v>2024</v>
      </c>
    </row>
    <row r="120" spans="1:4" x14ac:dyDescent="0.2">
      <c r="A120" s="26"/>
      <c r="B120" s="57"/>
      <c r="C120" s="57"/>
      <c r="D120" s="25"/>
    </row>
    <row r="121" spans="1:4" x14ac:dyDescent="0.2">
      <c r="A121" s="146" t="s">
        <v>168</v>
      </c>
      <c r="B121" s="155"/>
      <c r="C121" s="155"/>
      <c r="D121" s="155"/>
    </row>
    <row r="122" spans="1:4" x14ac:dyDescent="0.2">
      <c r="A122" s="26" t="s">
        <v>80</v>
      </c>
      <c r="B122" s="619" t="str">
        <f>CONCATENATE("Prior Year Actual for ",D119-2,"")</f>
        <v>Prior Year Actual for 2022</v>
      </c>
      <c r="C122" s="619" t="str">
        <f>CONCATENATE("Current Year Estimate for ",D119-1,"")</f>
        <v>Current Year Estimate for 2023</v>
      </c>
      <c r="D122" s="622" t="str">
        <f>CONCATENATE("Proposed Budget Year for ",D119,"")</f>
        <v>Proposed Budget Year for 2024</v>
      </c>
    </row>
    <row r="123" spans="1:4" x14ac:dyDescent="0.2">
      <c r="A123" s="44" t="s">
        <v>96</v>
      </c>
      <c r="B123" s="621"/>
      <c r="C123" s="621"/>
      <c r="D123" s="624"/>
    </row>
    <row r="124" spans="1:4" x14ac:dyDescent="0.2">
      <c r="A124" s="135" t="s">
        <v>92</v>
      </c>
      <c r="B124" s="50"/>
      <c r="C124" s="50"/>
      <c r="D124" s="50"/>
    </row>
    <row r="125" spans="1:4" x14ac:dyDescent="0.2">
      <c r="A125" s="154" t="s">
        <v>106</v>
      </c>
      <c r="B125" s="50"/>
      <c r="C125" s="50"/>
      <c r="D125" s="50"/>
    </row>
    <row r="126" spans="1:4" x14ac:dyDescent="0.2">
      <c r="A126" s="40" t="s">
        <v>107</v>
      </c>
      <c r="B126" s="140"/>
      <c r="C126" s="140"/>
      <c r="D126" s="140"/>
    </row>
    <row r="127" spans="1:4" x14ac:dyDescent="0.2">
      <c r="A127" s="40" t="s">
        <v>108</v>
      </c>
      <c r="B127" s="140"/>
      <c r="C127" s="140"/>
      <c r="D127" s="140"/>
    </row>
    <row r="128" spans="1:4" x14ac:dyDescent="0.2">
      <c r="A128" s="40" t="s">
        <v>109</v>
      </c>
      <c r="B128" s="140"/>
      <c r="C128" s="140"/>
      <c r="D128" s="140"/>
    </row>
    <row r="129" spans="1:4" x14ac:dyDescent="0.2">
      <c r="A129" s="40" t="s">
        <v>110</v>
      </c>
      <c r="B129" s="140"/>
      <c r="C129" s="140"/>
      <c r="D129" s="140"/>
    </row>
    <row r="130" spans="1:4" x14ac:dyDescent="0.2">
      <c r="A130" s="40" t="s">
        <v>111</v>
      </c>
      <c r="B130" s="140"/>
      <c r="C130" s="140"/>
      <c r="D130" s="140"/>
    </row>
    <row r="131" spans="1:4" x14ac:dyDescent="0.2">
      <c r="A131" s="40" t="s">
        <v>112</v>
      </c>
      <c r="B131" s="140"/>
      <c r="C131" s="140"/>
      <c r="D131" s="140"/>
    </row>
    <row r="132" spans="1:4" x14ac:dyDescent="0.2">
      <c r="A132" s="135" t="s">
        <v>54</v>
      </c>
      <c r="B132" s="50">
        <f>SUM(B126:B131)</f>
        <v>0</v>
      </c>
      <c r="C132" s="50">
        <f>SUM(C126:C131)</f>
        <v>0</v>
      </c>
      <c r="D132" s="50">
        <f>SUM(D126:D131)</f>
        <v>0</v>
      </c>
    </row>
    <row r="133" spans="1:4" x14ac:dyDescent="0.2">
      <c r="A133" s="154" t="s">
        <v>113</v>
      </c>
      <c r="B133" s="50"/>
      <c r="C133" s="50"/>
      <c r="D133" s="50"/>
    </row>
    <row r="134" spans="1:4" x14ac:dyDescent="0.2">
      <c r="A134" s="40" t="s">
        <v>97</v>
      </c>
      <c r="B134" s="140"/>
      <c r="C134" s="140"/>
      <c r="D134" s="140"/>
    </row>
    <row r="135" spans="1:4" x14ac:dyDescent="0.2">
      <c r="A135" s="40" t="s">
        <v>98</v>
      </c>
      <c r="B135" s="140"/>
      <c r="C135" s="140"/>
      <c r="D135" s="140"/>
    </row>
    <row r="136" spans="1:4" x14ac:dyDescent="0.2">
      <c r="A136" s="40" t="s">
        <v>99</v>
      </c>
      <c r="B136" s="140"/>
      <c r="C136" s="140"/>
      <c r="D136" s="140"/>
    </row>
    <row r="137" spans="1:4" x14ac:dyDescent="0.2">
      <c r="A137" s="40" t="s">
        <v>100</v>
      </c>
      <c r="B137" s="140"/>
      <c r="C137" s="140"/>
      <c r="D137" s="140"/>
    </row>
    <row r="138" spans="1:4" x14ac:dyDescent="0.2">
      <c r="A138" s="135" t="s">
        <v>54</v>
      </c>
      <c r="B138" s="50">
        <f>SUM(B134:B137)</f>
        <v>0</v>
      </c>
      <c r="C138" s="50">
        <f>SUM(C134:C137)</f>
        <v>0</v>
      </c>
      <c r="D138" s="50">
        <f>SUM(D134:D137)</f>
        <v>0</v>
      </c>
    </row>
    <row r="139" spans="1:4" x14ac:dyDescent="0.2">
      <c r="A139" s="154" t="s">
        <v>114</v>
      </c>
      <c r="B139" s="50"/>
      <c r="C139" s="50"/>
      <c r="D139" s="50"/>
    </row>
    <row r="140" spans="1:4" x14ac:dyDescent="0.2">
      <c r="A140" s="40" t="s">
        <v>97</v>
      </c>
      <c r="B140" s="140"/>
      <c r="C140" s="140"/>
      <c r="D140" s="140"/>
    </row>
    <row r="141" spans="1:4" x14ac:dyDescent="0.2">
      <c r="A141" s="40" t="s">
        <v>98</v>
      </c>
      <c r="B141" s="140"/>
      <c r="C141" s="140"/>
      <c r="D141" s="140"/>
    </row>
    <row r="142" spans="1:4" x14ac:dyDescent="0.2">
      <c r="A142" s="40" t="s">
        <v>99</v>
      </c>
      <c r="B142" s="140"/>
      <c r="C142" s="140"/>
      <c r="D142" s="140"/>
    </row>
    <row r="143" spans="1:4" x14ac:dyDescent="0.2">
      <c r="A143" s="40" t="s">
        <v>100</v>
      </c>
      <c r="B143" s="140"/>
      <c r="C143" s="140"/>
      <c r="D143" s="140"/>
    </row>
    <row r="144" spans="1:4" x14ac:dyDescent="0.2">
      <c r="A144" s="135" t="s">
        <v>54</v>
      </c>
      <c r="B144" s="50">
        <f>SUM(B140:B143)</f>
        <v>0</v>
      </c>
      <c r="C144" s="50">
        <f>SUM(C140:C143)</f>
        <v>0</v>
      </c>
      <c r="D144" s="50">
        <f>SUM(D140:D143)</f>
        <v>0</v>
      </c>
    </row>
    <row r="145" spans="1:4" x14ac:dyDescent="0.2">
      <c r="A145" s="154" t="s">
        <v>115</v>
      </c>
      <c r="B145" s="50"/>
      <c r="C145" s="50"/>
      <c r="D145" s="50"/>
    </row>
    <row r="146" spans="1:4" x14ac:dyDescent="0.2">
      <c r="A146" s="40" t="s">
        <v>97</v>
      </c>
      <c r="B146" s="140"/>
      <c r="C146" s="140"/>
      <c r="D146" s="140"/>
    </row>
    <row r="147" spans="1:4" x14ac:dyDescent="0.2">
      <c r="A147" s="40" t="s">
        <v>98</v>
      </c>
      <c r="B147" s="140"/>
      <c r="C147" s="140"/>
      <c r="D147" s="140"/>
    </row>
    <row r="148" spans="1:4" x14ac:dyDescent="0.2">
      <c r="A148" s="40" t="s">
        <v>99</v>
      </c>
      <c r="B148" s="140"/>
      <c r="C148" s="140"/>
      <c r="D148" s="140"/>
    </row>
    <row r="149" spans="1:4" x14ac:dyDescent="0.2">
      <c r="A149" s="40" t="s">
        <v>100</v>
      </c>
      <c r="B149" s="140"/>
      <c r="C149" s="140"/>
      <c r="D149" s="140"/>
    </row>
    <row r="150" spans="1:4" x14ac:dyDescent="0.2">
      <c r="A150" s="135" t="s">
        <v>54</v>
      </c>
      <c r="B150" s="50">
        <f>SUM(B146:B149)</f>
        <v>0</v>
      </c>
      <c r="C150" s="50">
        <f>SUM(C146:C149)</f>
        <v>0</v>
      </c>
      <c r="D150" s="50">
        <f>SUM(D146:D149)</f>
        <v>0</v>
      </c>
    </row>
    <row r="151" spans="1:4" x14ac:dyDescent="0.2">
      <c r="A151" s="154" t="s">
        <v>116</v>
      </c>
      <c r="B151" s="50"/>
      <c r="C151" s="50"/>
      <c r="D151" s="50"/>
    </row>
    <row r="152" spans="1:4" x14ac:dyDescent="0.2">
      <c r="A152" s="40" t="s">
        <v>97</v>
      </c>
      <c r="B152" s="140"/>
      <c r="C152" s="140"/>
      <c r="D152" s="140"/>
    </row>
    <row r="153" spans="1:4" x14ac:dyDescent="0.2">
      <c r="A153" s="40" t="s">
        <v>98</v>
      </c>
      <c r="B153" s="140"/>
      <c r="C153" s="140"/>
      <c r="D153" s="140"/>
    </row>
    <row r="154" spans="1:4" x14ac:dyDescent="0.2">
      <c r="A154" s="40" t="s">
        <v>99</v>
      </c>
      <c r="B154" s="140"/>
      <c r="C154" s="140"/>
      <c r="D154" s="140"/>
    </row>
    <row r="155" spans="1:4" x14ac:dyDescent="0.2">
      <c r="A155" s="40" t="s">
        <v>100</v>
      </c>
      <c r="B155" s="140"/>
      <c r="C155" s="140"/>
      <c r="D155" s="140"/>
    </row>
    <row r="156" spans="1:4" x14ac:dyDescent="0.2">
      <c r="A156" s="135" t="s">
        <v>54</v>
      </c>
      <c r="B156" s="50">
        <f>SUM(B152:B155)</f>
        <v>0</v>
      </c>
      <c r="C156" s="50">
        <f>SUM(C152:C155)</f>
        <v>0</v>
      </c>
      <c r="D156" s="50">
        <f>SUM(D152:D155)</f>
        <v>0</v>
      </c>
    </row>
    <row r="157" spans="1:4" x14ac:dyDescent="0.2">
      <c r="A157" s="154" t="s">
        <v>117</v>
      </c>
      <c r="B157" s="50"/>
      <c r="C157" s="50"/>
      <c r="D157" s="50"/>
    </row>
    <row r="158" spans="1:4" x14ac:dyDescent="0.2">
      <c r="A158" s="40" t="s">
        <v>97</v>
      </c>
      <c r="B158" s="140"/>
      <c r="C158" s="140"/>
      <c r="D158" s="140"/>
    </row>
    <row r="159" spans="1:4" x14ac:dyDescent="0.2">
      <c r="A159" s="40" t="s">
        <v>98</v>
      </c>
      <c r="B159" s="140"/>
      <c r="C159" s="140"/>
      <c r="D159" s="140"/>
    </row>
    <row r="160" spans="1:4" x14ac:dyDescent="0.2">
      <c r="A160" s="40" t="s">
        <v>99</v>
      </c>
      <c r="B160" s="140"/>
      <c r="C160" s="140"/>
      <c r="D160" s="140"/>
    </row>
    <row r="161" spans="1:4" x14ac:dyDescent="0.2">
      <c r="A161" s="40" t="s">
        <v>100</v>
      </c>
      <c r="B161" s="228"/>
      <c r="C161" s="228"/>
      <c r="D161" s="228"/>
    </row>
    <row r="162" spans="1:4" x14ac:dyDescent="0.2">
      <c r="A162" s="135" t="s">
        <v>54</v>
      </c>
      <c r="B162" s="50">
        <f>SUM(B158:B161)</f>
        <v>0</v>
      </c>
      <c r="C162" s="50">
        <f>SUM(C158:C161)</f>
        <v>0</v>
      </c>
      <c r="D162" s="50">
        <f>SUM(D158:D161)</f>
        <v>0</v>
      </c>
    </row>
    <row r="163" spans="1:4" x14ac:dyDescent="0.2">
      <c r="A163" s="154" t="s">
        <v>72</v>
      </c>
      <c r="B163" s="50"/>
      <c r="C163" s="50"/>
      <c r="D163" s="50"/>
    </row>
    <row r="164" spans="1:4" x14ac:dyDescent="0.2">
      <c r="A164" s="40" t="s">
        <v>97</v>
      </c>
      <c r="B164" s="140"/>
      <c r="C164" s="140"/>
      <c r="D164" s="140"/>
    </row>
    <row r="165" spans="1:4" x14ac:dyDescent="0.2">
      <c r="A165" s="40" t="s">
        <v>98</v>
      </c>
      <c r="B165" s="140"/>
      <c r="C165" s="140"/>
      <c r="D165" s="140"/>
    </row>
    <row r="166" spans="1:4" x14ac:dyDescent="0.2">
      <c r="A166" s="40" t="s">
        <v>99</v>
      </c>
      <c r="B166" s="140"/>
      <c r="C166" s="140"/>
      <c r="D166" s="140"/>
    </row>
    <row r="167" spans="1:4" x14ac:dyDescent="0.2">
      <c r="A167" s="40" t="s">
        <v>100</v>
      </c>
      <c r="B167" s="140"/>
      <c r="C167" s="140"/>
      <c r="D167" s="140"/>
    </row>
    <row r="168" spans="1:4" x14ac:dyDescent="0.2">
      <c r="A168" s="135" t="s">
        <v>54</v>
      </c>
      <c r="B168" s="50">
        <f>SUM(B164:B167)</f>
        <v>0</v>
      </c>
      <c r="C168" s="50">
        <f>SUM(C164:C167)</f>
        <v>0</v>
      </c>
      <c r="D168" s="50">
        <f>SUM(D164:D167)</f>
        <v>0</v>
      </c>
    </row>
    <row r="169" spans="1:4" x14ac:dyDescent="0.2">
      <c r="A169" s="154" t="s">
        <v>79</v>
      </c>
      <c r="B169" s="50"/>
      <c r="C169" s="50"/>
      <c r="D169" s="50"/>
    </row>
    <row r="170" spans="1:4" x14ac:dyDescent="0.2">
      <c r="A170" s="40" t="s">
        <v>97</v>
      </c>
      <c r="B170" s="140"/>
      <c r="C170" s="140"/>
      <c r="D170" s="140"/>
    </row>
    <row r="171" spans="1:4" x14ac:dyDescent="0.2">
      <c r="A171" s="40" t="s">
        <v>98</v>
      </c>
      <c r="B171" s="140"/>
      <c r="C171" s="140"/>
      <c r="D171" s="140"/>
    </row>
    <row r="172" spans="1:4" x14ac:dyDescent="0.2">
      <c r="A172" s="40" t="s">
        <v>99</v>
      </c>
      <c r="B172" s="140"/>
      <c r="C172" s="140"/>
      <c r="D172" s="140"/>
    </row>
    <row r="173" spans="1:4" x14ac:dyDescent="0.2">
      <c r="A173" s="40" t="s">
        <v>100</v>
      </c>
      <c r="B173" s="140"/>
      <c r="C173" s="140"/>
      <c r="D173" s="140"/>
    </row>
    <row r="174" spans="1:4" x14ac:dyDescent="0.2">
      <c r="A174" s="135" t="s">
        <v>54</v>
      </c>
      <c r="B174" s="50">
        <f>SUM(B170:B173)</f>
        <v>0</v>
      </c>
      <c r="C174" s="50">
        <f>SUM(C170:C173)</f>
        <v>0</v>
      </c>
      <c r="D174" s="50">
        <f>SUM(D170:D173)</f>
        <v>0</v>
      </c>
    </row>
    <row r="175" spans="1:4" x14ac:dyDescent="0.2">
      <c r="A175" s="135"/>
      <c r="B175" s="50"/>
      <c r="C175" s="50"/>
      <c r="D175" s="50"/>
    </row>
    <row r="176" spans="1:4" x14ac:dyDescent="0.2">
      <c r="A176" s="135" t="s">
        <v>352</v>
      </c>
      <c r="B176" s="512">
        <f>B132+B138+B144+B150+B156+B162+B168+B174</f>
        <v>0</v>
      </c>
      <c r="C176" s="512">
        <f>C132+C138+C144+C150+C156+C162+C168+C174</f>
        <v>0</v>
      </c>
      <c r="D176" s="512">
        <f>D132+D138+D144+D150+D156+D162+D168+D174</f>
        <v>0</v>
      </c>
    </row>
    <row r="177" spans="1:4" x14ac:dyDescent="0.2">
      <c r="A177" s="26"/>
      <c r="B177" s="57"/>
      <c r="C177" s="57"/>
      <c r="D177" s="57"/>
    </row>
    <row r="178" spans="1:4" x14ac:dyDescent="0.2">
      <c r="A178" s="600" t="s">
        <v>348</v>
      </c>
      <c r="B178" s="600"/>
      <c r="C178" s="600"/>
      <c r="D178" s="600"/>
    </row>
    <row r="179" spans="1:4" x14ac:dyDescent="0.2">
      <c r="A179" s="57" t="str">
        <f>inputPrYr!C3</f>
        <v>Doniphan County</v>
      </c>
      <c r="B179" s="57"/>
      <c r="C179" s="25"/>
      <c r="D179" s="26">
        <f>D1</f>
        <v>2024</v>
      </c>
    </row>
    <row r="180" spans="1:4" x14ac:dyDescent="0.2">
      <c r="A180" s="26"/>
      <c r="B180" s="57"/>
      <c r="C180" s="57"/>
      <c r="D180" s="25"/>
    </row>
    <row r="181" spans="1:4" x14ac:dyDescent="0.2">
      <c r="A181" s="146" t="s">
        <v>168</v>
      </c>
      <c r="B181" s="155"/>
      <c r="C181" s="155"/>
      <c r="D181" s="155"/>
    </row>
    <row r="182" spans="1:4" x14ac:dyDescent="0.2">
      <c r="A182" s="26" t="s">
        <v>80</v>
      </c>
      <c r="B182" s="619" t="str">
        <f>CONCATENATE("Prior Year Actual for ",D179-2,"")</f>
        <v>Prior Year Actual for 2022</v>
      </c>
      <c r="C182" s="619" t="str">
        <f>CONCATENATE("Current Year Estimate for ",D179-1,"")</f>
        <v>Current Year Estimate for 2023</v>
      </c>
      <c r="D182" s="622" t="str">
        <f>CONCATENATE("Proposed Budget Year for ",D179,"")</f>
        <v>Proposed Budget Year for 2024</v>
      </c>
    </row>
    <row r="183" spans="1:4" x14ac:dyDescent="0.2">
      <c r="A183" s="44" t="s">
        <v>96</v>
      </c>
      <c r="B183" s="621"/>
      <c r="C183" s="621"/>
      <c r="D183" s="624"/>
    </row>
    <row r="184" spans="1:4" x14ac:dyDescent="0.2">
      <c r="A184" s="135" t="s">
        <v>92</v>
      </c>
      <c r="B184" s="50"/>
      <c r="C184" s="50"/>
      <c r="D184" s="50"/>
    </row>
    <row r="185" spans="1:4" x14ac:dyDescent="0.2">
      <c r="A185" s="154" t="s">
        <v>118</v>
      </c>
      <c r="B185" s="50"/>
      <c r="C185" s="50"/>
      <c r="D185" s="50"/>
    </row>
    <row r="186" spans="1:4" x14ac:dyDescent="0.2">
      <c r="A186" s="40" t="s">
        <v>97</v>
      </c>
      <c r="B186" s="140"/>
      <c r="C186" s="140"/>
      <c r="D186" s="140"/>
    </row>
    <row r="187" spans="1:4" x14ac:dyDescent="0.2">
      <c r="A187" s="40" t="s">
        <v>98</v>
      </c>
      <c r="B187" s="140"/>
      <c r="C187" s="140"/>
      <c r="D187" s="140"/>
    </row>
    <row r="188" spans="1:4" x14ac:dyDescent="0.2">
      <c r="A188" s="40" t="s">
        <v>99</v>
      </c>
      <c r="B188" s="140"/>
      <c r="C188" s="140"/>
      <c r="D188" s="140"/>
    </row>
    <row r="189" spans="1:4" x14ac:dyDescent="0.2">
      <c r="A189" s="40" t="s">
        <v>100</v>
      </c>
      <c r="B189" s="140"/>
      <c r="C189" s="140"/>
      <c r="D189" s="140"/>
    </row>
    <row r="190" spans="1:4" x14ac:dyDescent="0.2">
      <c r="A190" s="135" t="s">
        <v>54</v>
      </c>
      <c r="B190" s="50">
        <f>SUM(B186:B189)</f>
        <v>0</v>
      </c>
      <c r="C190" s="50">
        <f>SUM(C186:C189)</f>
        <v>0</v>
      </c>
      <c r="D190" s="50">
        <f>SUM(D186:D189)</f>
        <v>0</v>
      </c>
    </row>
    <row r="191" spans="1:4" x14ac:dyDescent="0.2">
      <c r="A191" s="154" t="s">
        <v>119</v>
      </c>
      <c r="B191" s="50"/>
      <c r="C191" s="50"/>
      <c r="D191" s="50"/>
    </row>
    <row r="192" spans="1:4" x14ac:dyDescent="0.2">
      <c r="A192" s="40" t="s">
        <v>97</v>
      </c>
      <c r="B192" s="140"/>
      <c r="C192" s="140"/>
      <c r="D192" s="140"/>
    </row>
    <row r="193" spans="1:4" x14ac:dyDescent="0.2">
      <c r="A193" s="40" t="s">
        <v>98</v>
      </c>
      <c r="B193" s="140"/>
      <c r="C193" s="140"/>
      <c r="D193" s="140"/>
    </row>
    <row r="194" spans="1:4" x14ac:dyDescent="0.2">
      <c r="A194" s="40" t="s">
        <v>99</v>
      </c>
      <c r="B194" s="140"/>
      <c r="C194" s="140"/>
      <c r="D194" s="140"/>
    </row>
    <row r="195" spans="1:4" x14ac:dyDescent="0.2">
      <c r="A195" s="40" t="s">
        <v>100</v>
      </c>
      <c r="B195" s="140"/>
      <c r="C195" s="140"/>
      <c r="D195" s="140"/>
    </row>
    <row r="196" spans="1:4" x14ac:dyDescent="0.2">
      <c r="A196" s="135" t="s">
        <v>54</v>
      </c>
      <c r="B196" s="50">
        <f>SUM(B192:B195)</f>
        <v>0</v>
      </c>
      <c r="C196" s="50">
        <f>SUM(C192:C195)</f>
        <v>0</v>
      </c>
      <c r="D196" s="50">
        <f>SUM(D192:D195)</f>
        <v>0</v>
      </c>
    </row>
    <row r="197" spans="1:4" x14ac:dyDescent="0.2">
      <c r="A197" s="154" t="s">
        <v>120</v>
      </c>
      <c r="B197" s="50"/>
      <c r="C197" s="50"/>
      <c r="D197" s="50"/>
    </row>
    <row r="198" spans="1:4" x14ac:dyDescent="0.2">
      <c r="A198" s="40" t="s">
        <v>97</v>
      </c>
      <c r="B198" s="140"/>
      <c r="C198" s="140"/>
      <c r="D198" s="140"/>
    </row>
    <row r="199" spans="1:4" x14ac:dyDescent="0.2">
      <c r="A199" s="40" t="s">
        <v>98</v>
      </c>
      <c r="B199" s="140"/>
      <c r="C199" s="140"/>
      <c r="D199" s="140"/>
    </row>
    <row r="200" spans="1:4" x14ac:dyDescent="0.2">
      <c r="A200" s="40" t="s">
        <v>99</v>
      </c>
      <c r="B200" s="140"/>
      <c r="C200" s="140"/>
      <c r="D200" s="140"/>
    </row>
    <row r="201" spans="1:4" x14ac:dyDescent="0.2">
      <c r="A201" s="40" t="s">
        <v>100</v>
      </c>
      <c r="B201" s="140"/>
      <c r="C201" s="140"/>
      <c r="D201" s="140"/>
    </row>
    <row r="202" spans="1:4" x14ac:dyDescent="0.2">
      <c r="A202" s="135" t="s">
        <v>54</v>
      </c>
      <c r="B202" s="50">
        <f>SUM(B198:B201)</f>
        <v>0</v>
      </c>
      <c r="C202" s="50">
        <f>SUM(C198:C201)</f>
        <v>0</v>
      </c>
      <c r="D202" s="50">
        <f>SUM(D198:D201)</f>
        <v>0</v>
      </c>
    </row>
    <row r="203" spans="1:4" x14ac:dyDescent="0.2">
      <c r="A203" s="154" t="s">
        <v>71</v>
      </c>
      <c r="B203" s="50"/>
      <c r="C203" s="50"/>
      <c r="D203" s="50"/>
    </row>
    <row r="204" spans="1:4" x14ac:dyDescent="0.2">
      <c r="A204" s="40" t="s">
        <v>97</v>
      </c>
      <c r="B204" s="140"/>
      <c r="C204" s="140"/>
      <c r="D204" s="140"/>
    </row>
    <row r="205" spans="1:4" x14ac:dyDescent="0.2">
      <c r="A205" s="40" t="s">
        <v>98</v>
      </c>
      <c r="B205" s="140"/>
      <c r="C205" s="140"/>
      <c r="D205" s="140"/>
    </row>
    <row r="206" spans="1:4" x14ac:dyDescent="0.2">
      <c r="A206" s="40" t="s">
        <v>99</v>
      </c>
      <c r="B206" s="140"/>
      <c r="C206" s="140"/>
      <c r="D206" s="140"/>
    </row>
    <row r="207" spans="1:4" x14ac:dyDescent="0.2">
      <c r="A207" s="40" t="s">
        <v>100</v>
      </c>
      <c r="B207" s="140"/>
      <c r="C207" s="140"/>
      <c r="D207" s="140"/>
    </row>
    <row r="208" spans="1:4" x14ac:dyDescent="0.2">
      <c r="A208" s="135" t="s">
        <v>54</v>
      </c>
      <c r="B208" s="50">
        <f>SUM(B204:B207)</f>
        <v>0</v>
      </c>
      <c r="C208" s="50">
        <f>SUM(C204:C207)</f>
        <v>0</v>
      </c>
      <c r="D208" s="50">
        <f>SUM(D204:D207)</f>
        <v>0</v>
      </c>
    </row>
    <row r="209" spans="1:4" x14ac:dyDescent="0.2">
      <c r="A209" s="154" t="s">
        <v>121</v>
      </c>
      <c r="B209" s="50"/>
      <c r="C209" s="50"/>
      <c r="D209" s="50"/>
    </row>
    <row r="210" spans="1:4" x14ac:dyDescent="0.2">
      <c r="A210" s="40" t="s">
        <v>97</v>
      </c>
      <c r="B210" s="140"/>
      <c r="C210" s="140"/>
      <c r="D210" s="140"/>
    </row>
    <row r="211" spans="1:4" x14ac:dyDescent="0.2">
      <c r="A211" s="40" t="s">
        <v>98</v>
      </c>
      <c r="B211" s="140"/>
      <c r="C211" s="140"/>
      <c r="D211" s="140"/>
    </row>
    <row r="212" spans="1:4" x14ac:dyDescent="0.2">
      <c r="A212" s="40" t="s">
        <v>99</v>
      </c>
      <c r="B212" s="140"/>
      <c r="C212" s="140"/>
      <c r="D212" s="140"/>
    </row>
    <row r="213" spans="1:4" x14ac:dyDescent="0.2">
      <c r="A213" s="40" t="s">
        <v>100</v>
      </c>
      <c r="B213" s="140"/>
      <c r="C213" s="140"/>
      <c r="D213" s="140"/>
    </row>
    <row r="214" spans="1:4" x14ac:dyDescent="0.2">
      <c r="A214" s="135" t="s">
        <v>54</v>
      </c>
      <c r="B214" s="50">
        <f>SUM(B210:B213)</f>
        <v>0</v>
      </c>
      <c r="C214" s="50">
        <f>SUM(C210:C213)</f>
        <v>0</v>
      </c>
      <c r="D214" s="50">
        <f>SUM(D210:D213)</f>
        <v>0</v>
      </c>
    </row>
    <row r="215" spans="1:4" x14ac:dyDescent="0.2">
      <c r="A215" s="154" t="s">
        <v>122</v>
      </c>
      <c r="B215" s="50"/>
      <c r="C215" s="50"/>
      <c r="D215" s="50"/>
    </row>
    <row r="216" spans="1:4" x14ac:dyDescent="0.2">
      <c r="A216" s="40" t="s">
        <v>97</v>
      </c>
      <c r="B216" s="140"/>
      <c r="C216" s="140"/>
      <c r="D216" s="140"/>
    </row>
    <row r="217" spans="1:4" x14ac:dyDescent="0.2">
      <c r="A217" s="40" t="s">
        <v>98</v>
      </c>
      <c r="B217" s="140"/>
      <c r="C217" s="140"/>
      <c r="D217" s="140"/>
    </row>
    <row r="218" spans="1:4" x14ac:dyDescent="0.2">
      <c r="A218" s="40" t="s">
        <v>99</v>
      </c>
      <c r="B218" s="140"/>
      <c r="C218" s="140"/>
      <c r="D218" s="140"/>
    </row>
    <row r="219" spans="1:4" x14ac:dyDescent="0.2">
      <c r="A219" s="40" t="s">
        <v>100</v>
      </c>
      <c r="B219" s="140"/>
      <c r="C219" s="140"/>
      <c r="D219" s="140"/>
    </row>
    <row r="220" spans="1:4" x14ac:dyDescent="0.2">
      <c r="A220" s="135" t="s">
        <v>54</v>
      </c>
      <c r="B220" s="50">
        <f>SUM(B216:B219)</f>
        <v>0</v>
      </c>
      <c r="C220" s="50">
        <f>SUM(C216:C219)</f>
        <v>0</v>
      </c>
      <c r="D220" s="50">
        <f>SUM(D216:D219)</f>
        <v>0</v>
      </c>
    </row>
    <row r="221" spans="1:4" x14ac:dyDescent="0.2">
      <c r="A221" s="154" t="s">
        <v>132</v>
      </c>
      <c r="B221" s="50"/>
      <c r="C221" s="50"/>
      <c r="D221" s="50"/>
    </row>
    <row r="222" spans="1:4" x14ac:dyDescent="0.2">
      <c r="A222" s="40" t="s">
        <v>98</v>
      </c>
      <c r="B222" s="140"/>
      <c r="C222" s="140"/>
      <c r="D222" s="140"/>
    </row>
    <row r="223" spans="1:4" x14ac:dyDescent="0.2">
      <c r="A223" s="135" t="s">
        <v>54</v>
      </c>
      <c r="B223" s="50">
        <f>B222</f>
        <v>0</v>
      </c>
      <c r="C223" s="50">
        <f>C222</f>
        <v>0</v>
      </c>
      <c r="D223" s="50">
        <f>D222</f>
        <v>0</v>
      </c>
    </row>
    <row r="224" spans="1:4" x14ac:dyDescent="0.2">
      <c r="A224" s="154" t="s">
        <v>123</v>
      </c>
      <c r="B224" s="50"/>
      <c r="C224" s="50"/>
      <c r="D224" s="50"/>
    </row>
    <row r="225" spans="1:4" x14ac:dyDescent="0.2">
      <c r="A225" s="40" t="s">
        <v>97</v>
      </c>
      <c r="B225" s="140"/>
      <c r="C225" s="140"/>
      <c r="D225" s="140"/>
    </row>
    <row r="226" spans="1:4" x14ac:dyDescent="0.2">
      <c r="A226" s="40" t="s">
        <v>98</v>
      </c>
      <c r="B226" s="140"/>
      <c r="C226" s="140"/>
      <c r="D226" s="140"/>
    </row>
    <row r="227" spans="1:4" x14ac:dyDescent="0.2">
      <c r="A227" s="40" t="s">
        <v>99</v>
      </c>
      <c r="B227" s="140"/>
      <c r="C227" s="140"/>
      <c r="D227" s="140"/>
    </row>
    <row r="228" spans="1:4" x14ac:dyDescent="0.2">
      <c r="A228" s="40" t="s">
        <v>100</v>
      </c>
      <c r="B228" s="140"/>
      <c r="C228" s="140"/>
      <c r="D228" s="140"/>
    </row>
    <row r="229" spans="1:4" x14ac:dyDescent="0.2">
      <c r="A229" s="135" t="s">
        <v>54</v>
      </c>
      <c r="B229" s="50">
        <f>SUM(B225:B228)</f>
        <v>0</v>
      </c>
      <c r="C229" s="50">
        <f>SUM(C225:C228)</f>
        <v>0</v>
      </c>
      <c r="D229" s="50">
        <f>SUM(D225:D228)</f>
        <v>0</v>
      </c>
    </row>
    <row r="230" spans="1:4" x14ac:dyDescent="0.2">
      <c r="A230" s="154" t="s">
        <v>124</v>
      </c>
      <c r="B230" s="50"/>
      <c r="C230" s="50"/>
      <c r="D230" s="50"/>
    </row>
    <row r="231" spans="1:4" x14ac:dyDescent="0.2">
      <c r="A231" s="40" t="s">
        <v>97</v>
      </c>
      <c r="B231" s="140"/>
      <c r="C231" s="140"/>
      <c r="D231" s="140"/>
    </row>
    <row r="232" spans="1:4" x14ac:dyDescent="0.2">
      <c r="A232" s="40" t="s">
        <v>98</v>
      </c>
      <c r="B232" s="140"/>
      <c r="C232" s="140"/>
      <c r="D232" s="140"/>
    </row>
    <row r="233" spans="1:4" x14ac:dyDescent="0.2">
      <c r="A233" s="40" t="s">
        <v>99</v>
      </c>
      <c r="B233" s="140"/>
      <c r="C233" s="140"/>
      <c r="D233" s="140"/>
    </row>
    <row r="234" spans="1:4" x14ac:dyDescent="0.2">
      <c r="A234" s="40" t="s">
        <v>100</v>
      </c>
      <c r="B234" s="140"/>
      <c r="C234" s="140"/>
      <c r="D234" s="140"/>
    </row>
    <row r="235" spans="1:4" x14ac:dyDescent="0.2">
      <c r="A235" s="135" t="s">
        <v>54</v>
      </c>
      <c r="B235" s="50">
        <f>SUM(B231:B234)</f>
        <v>0</v>
      </c>
      <c r="C235" s="50">
        <f>SUM(C231:C234)</f>
        <v>0</v>
      </c>
      <c r="D235" s="50">
        <f>SUM(D231:D234)</f>
        <v>0</v>
      </c>
    </row>
    <row r="236" spans="1:4" x14ac:dyDescent="0.2">
      <c r="A236" s="135"/>
      <c r="B236" s="50"/>
      <c r="C236" s="50"/>
      <c r="D236" s="50"/>
    </row>
    <row r="237" spans="1:4" x14ac:dyDescent="0.2">
      <c r="A237" s="135" t="s">
        <v>548</v>
      </c>
      <c r="B237" s="512">
        <f>B190+B196+B202+B208+B214+B220+B222+B229+B235</f>
        <v>0</v>
      </c>
      <c r="C237" s="512">
        <f>C190+C196+C202+C208+C214+C220+C222+C229+C235</f>
        <v>0</v>
      </c>
      <c r="D237" s="512">
        <f>D190+D196+D202+D208+D214+D220+D222+D229+D235</f>
        <v>0</v>
      </c>
    </row>
    <row r="238" spans="1:4" x14ac:dyDescent="0.2">
      <c r="A238" s="26"/>
      <c r="B238" s="57"/>
      <c r="C238" s="57"/>
      <c r="D238" s="57"/>
    </row>
    <row r="239" spans="1:4" x14ac:dyDescent="0.2">
      <c r="A239" s="600" t="s">
        <v>349</v>
      </c>
      <c r="B239" s="600"/>
      <c r="C239" s="600"/>
      <c r="D239" s="600"/>
    </row>
    <row r="240" spans="1:4" x14ac:dyDescent="0.2">
      <c r="A240" s="57" t="str">
        <f>inputPrYr!C3</f>
        <v>Doniphan County</v>
      </c>
      <c r="B240" s="57"/>
      <c r="C240" s="25"/>
      <c r="D240" s="26">
        <f>D1</f>
        <v>2024</v>
      </c>
    </row>
    <row r="241" spans="1:4" x14ac:dyDescent="0.2">
      <c r="A241" s="26"/>
      <c r="B241" s="57"/>
      <c r="C241" s="57"/>
      <c r="D241" s="25"/>
    </row>
    <row r="242" spans="1:4" x14ac:dyDescent="0.2">
      <c r="A242" s="146" t="s">
        <v>168</v>
      </c>
      <c r="B242" s="155"/>
      <c r="C242" s="155"/>
      <c r="D242" s="155"/>
    </row>
    <row r="243" spans="1:4" x14ac:dyDescent="0.2">
      <c r="A243" s="26" t="s">
        <v>80</v>
      </c>
      <c r="B243" s="619" t="str">
        <f>CONCATENATE("Prior Year Actual for ",D240-2,"")</f>
        <v>Prior Year Actual for 2022</v>
      </c>
      <c r="C243" s="619" t="str">
        <f>CONCATENATE("Current Year Estimate for ",D240-1,"")</f>
        <v>Current Year Estimate for 2023</v>
      </c>
      <c r="D243" s="622" t="str">
        <f>CONCATENATE("Proposed Budget Year for ",D240,"")</f>
        <v>Proposed Budget Year for 2024</v>
      </c>
    </row>
    <row r="244" spans="1:4" x14ac:dyDescent="0.2">
      <c r="A244" s="44" t="s">
        <v>96</v>
      </c>
      <c r="B244" s="621"/>
      <c r="C244" s="621"/>
      <c r="D244" s="624"/>
    </row>
    <row r="245" spans="1:4" x14ac:dyDescent="0.2">
      <c r="A245" s="103" t="s">
        <v>92</v>
      </c>
      <c r="B245" s="50"/>
      <c r="C245" s="50"/>
      <c r="D245" s="50"/>
    </row>
    <row r="246" spans="1:4" x14ac:dyDescent="0.2">
      <c r="A246" s="154" t="s">
        <v>125</v>
      </c>
      <c r="B246" s="50"/>
      <c r="C246" s="50"/>
      <c r="D246" s="50"/>
    </row>
    <row r="247" spans="1:4" x14ac:dyDescent="0.2">
      <c r="A247" s="40" t="s">
        <v>97</v>
      </c>
      <c r="B247" s="140"/>
      <c r="C247" s="140"/>
      <c r="D247" s="140"/>
    </row>
    <row r="248" spans="1:4" x14ac:dyDescent="0.2">
      <c r="A248" s="40" t="s">
        <v>98</v>
      </c>
      <c r="B248" s="140"/>
      <c r="C248" s="140"/>
      <c r="D248" s="140"/>
    </row>
    <row r="249" spans="1:4" x14ac:dyDescent="0.2">
      <c r="A249" s="40" t="s">
        <v>99</v>
      </c>
      <c r="B249" s="140"/>
      <c r="C249" s="140"/>
      <c r="D249" s="140"/>
    </row>
    <row r="250" spans="1:4" x14ac:dyDescent="0.2">
      <c r="A250" s="40" t="s">
        <v>100</v>
      </c>
      <c r="B250" s="140"/>
      <c r="C250" s="140"/>
      <c r="D250" s="140"/>
    </row>
    <row r="251" spans="1:4" x14ac:dyDescent="0.2">
      <c r="A251" s="135" t="s">
        <v>54</v>
      </c>
      <c r="B251" s="50">
        <f>SUM(B247:B250)</f>
        <v>0</v>
      </c>
      <c r="C251" s="50">
        <f>SUM(C247:C250)</f>
        <v>0</v>
      </c>
      <c r="D251" s="50">
        <f>SUM(D247:D250)</f>
        <v>0</v>
      </c>
    </row>
    <row r="252" spans="1:4" x14ac:dyDescent="0.2">
      <c r="A252" s="154" t="s">
        <v>126</v>
      </c>
      <c r="B252" s="50"/>
      <c r="C252" s="50"/>
      <c r="D252" s="50"/>
    </row>
    <row r="253" spans="1:4" x14ac:dyDescent="0.2">
      <c r="A253" s="40" t="s">
        <v>97</v>
      </c>
      <c r="B253" s="140"/>
      <c r="C253" s="140"/>
      <c r="D253" s="140"/>
    </row>
    <row r="254" spans="1:4" x14ac:dyDescent="0.2">
      <c r="A254" s="40" t="s">
        <v>98</v>
      </c>
      <c r="B254" s="140"/>
      <c r="C254" s="140"/>
      <c r="D254" s="140"/>
    </row>
    <row r="255" spans="1:4" x14ac:dyDescent="0.2">
      <c r="A255" s="40" t="s">
        <v>99</v>
      </c>
      <c r="B255" s="140"/>
      <c r="C255" s="140"/>
      <c r="D255" s="140"/>
    </row>
    <row r="256" spans="1:4" x14ac:dyDescent="0.2">
      <c r="A256" s="40" t="s">
        <v>100</v>
      </c>
      <c r="B256" s="140"/>
      <c r="C256" s="140"/>
      <c r="D256" s="140"/>
    </row>
    <row r="257" spans="1:4" x14ac:dyDescent="0.2">
      <c r="A257" s="135" t="s">
        <v>54</v>
      </c>
      <c r="B257" s="50">
        <f>SUM(B253:B256)</f>
        <v>0</v>
      </c>
      <c r="C257" s="50">
        <f>SUM(C253:C256)</f>
        <v>0</v>
      </c>
      <c r="D257" s="50">
        <f>SUM(D253:D256)</f>
        <v>0</v>
      </c>
    </row>
    <row r="258" spans="1:4" x14ac:dyDescent="0.2">
      <c r="A258" s="154" t="s">
        <v>127</v>
      </c>
      <c r="B258" s="50"/>
      <c r="C258" s="50"/>
      <c r="D258" s="50"/>
    </row>
    <row r="259" spans="1:4" x14ac:dyDescent="0.2">
      <c r="A259" s="40" t="s">
        <v>97</v>
      </c>
      <c r="B259" s="140"/>
      <c r="C259" s="140"/>
      <c r="D259" s="140"/>
    </row>
    <row r="260" spans="1:4" x14ac:dyDescent="0.2">
      <c r="A260" s="40" t="s">
        <v>98</v>
      </c>
      <c r="B260" s="140"/>
      <c r="C260" s="140"/>
      <c r="D260" s="140"/>
    </row>
    <row r="261" spans="1:4" x14ac:dyDescent="0.2">
      <c r="A261" s="40" t="s">
        <v>99</v>
      </c>
      <c r="B261" s="140"/>
      <c r="C261" s="140"/>
      <c r="D261" s="140"/>
    </row>
    <row r="262" spans="1:4" x14ac:dyDescent="0.2">
      <c r="A262" s="40" t="s">
        <v>100</v>
      </c>
      <c r="B262" s="140"/>
      <c r="C262" s="140"/>
      <c r="D262" s="140"/>
    </row>
    <row r="263" spans="1:4" x14ac:dyDescent="0.2">
      <c r="A263" s="135" t="s">
        <v>54</v>
      </c>
      <c r="B263" s="50">
        <f>SUM(B259:B262)</f>
        <v>0</v>
      </c>
      <c r="C263" s="50">
        <f>SUM(C259:C262)</f>
        <v>0</v>
      </c>
      <c r="D263" s="50">
        <f>SUM(D259:D262)</f>
        <v>0</v>
      </c>
    </row>
    <row r="264" spans="1:4" x14ac:dyDescent="0.2">
      <c r="A264" s="154" t="s">
        <v>128</v>
      </c>
      <c r="B264" s="50"/>
      <c r="C264" s="50"/>
      <c r="D264" s="50"/>
    </row>
    <row r="265" spans="1:4" x14ac:dyDescent="0.2">
      <c r="A265" s="40" t="s">
        <v>97</v>
      </c>
      <c r="B265" s="140"/>
      <c r="C265" s="140"/>
      <c r="D265" s="140"/>
    </row>
    <row r="266" spans="1:4" x14ac:dyDescent="0.2">
      <c r="A266" s="40" t="s">
        <v>98</v>
      </c>
      <c r="B266" s="140"/>
      <c r="C266" s="140"/>
      <c r="D266" s="140"/>
    </row>
    <row r="267" spans="1:4" x14ac:dyDescent="0.2">
      <c r="A267" s="40" t="s">
        <v>99</v>
      </c>
      <c r="B267" s="140"/>
      <c r="C267" s="140"/>
      <c r="D267" s="140"/>
    </row>
    <row r="268" spans="1:4" x14ac:dyDescent="0.2">
      <c r="A268" s="40" t="s">
        <v>100</v>
      </c>
      <c r="B268" s="140"/>
      <c r="C268" s="140"/>
      <c r="D268" s="140"/>
    </row>
    <row r="269" spans="1:4" x14ac:dyDescent="0.2">
      <c r="A269" s="135" t="s">
        <v>54</v>
      </c>
      <c r="B269" s="50">
        <f>SUM(B265:B268)</f>
        <v>0</v>
      </c>
      <c r="C269" s="50">
        <f>SUM(C265:C268)</f>
        <v>0</v>
      </c>
      <c r="D269" s="50">
        <f>SUM(D265:D268)</f>
        <v>0</v>
      </c>
    </row>
    <row r="270" spans="1:4" x14ac:dyDescent="0.2">
      <c r="A270" s="154" t="s">
        <v>129</v>
      </c>
      <c r="B270" s="50"/>
      <c r="C270" s="50"/>
      <c r="D270" s="50"/>
    </row>
    <row r="271" spans="1:4" x14ac:dyDescent="0.2">
      <c r="A271" s="40" t="s">
        <v>98</v>
      </c>
      <c r="B271" s="140"/>
      <c r="C271" s="140"/>
      <c r="D271" s="140"/>
    </row>
    <row r="272" spans="1:4" x14ac:dyDescent="0.2">
      <c r="A272" s="40" t="s">
        <v>130</v>
      </c>
      <c r="B272" s="140"/>
      <c r="C272" s="140"/>
      <c r="D272" s="140"/>
    </row>
    <row r="273" spans="1:4" x14ac:dyDescent="0.2">
      <c r="A273" s="135" t="s">
        <v>54</v>
      </c>
      <c r="B273" s="50">
        <f>SUM(B271:B272)</f>
        <v>0</v>
      </c>
      <c r="C273" s="50">
        <f>SUM(C271:C272)</f>
        <v>0</v>
      </c>
      <c r="D273" s="50">
        <f>SUM(D271:D272)</f>
        <v>0</v>
      </c>
    </row>
    <row r="274" spans="1:4" x14ac:dyDescent="0.2">
      <c r="A274" s="154" t="s">
        <v>131</v>
      </c>
      <c r="B274" s="50"/>
      <c r="C274" s="50"/>
      <c r="D274" s="50"/>
    </row>
    <row r="275" spans="1:4" x14ac:dyDescent="0.2">
      <c r="A275" s="40" t="s">
        <v>97</v>
      </c>
      <c r="B275" s="140"/>
      <c r="C275" s="140"/>
      <c r="D275" s="140"/>
    </row>
    <row r="276" spans="1:4" x14ac:dyDescent="0.2">
      <c r="A276" s="40" t="s">
        <v>98</v>
      </c>
      <c r="B276" s="140"/>
      <c r="C276" s="140"/>
      <c r="D276" s="140"/>
    </row>
    <row r="277" spans="1:4" x14ac:dyDescent="0.2">
      <c r="A277" s="40" t="s">
        <v>99</v>
      </c>
      <c r="B277" s="140"/>
      <c r="C277" s="140"/>
      <c r="D277" s="140"/>
    </row>
    <row r="278" spans="1:4" x14ac:dyDescent="0.2">
      <c r="A278" s="40" t="s">
        <v>100</v>
      </c>
      <c r="B278" s="140"/>
      <c r="C278" s="140"/>
      <c r="D278" s="140"/>
    </row>
    <row r="279" spans="1:4" x14ac:dyDescent="0.2">
      <c r="A279" s="135" t="s">
        <v>54</v>
      </c>
      <c r="B279" s="50">
        <f>SUM(B275:B278)</f>
        <v>0</v>
      </c>
      <c r="C279" s="50">
        <f>SUM(C275:C278)</f>
        <v>0</v>
      </c>
      <c r="D279" s="50">
        <f>SUM(D275:D278)</f>
        <v>0</v>
      </c>
    </row>
    <row r="280" spans="1:4" x14ac:dyDescent="0.2">
      <c r="A280" s="154" t="s">
        <v>132</v>
      </c>
      <c r="B280" s="50"/>
      <c r="C280" s="50"/>
      <c r="D280" s="50"/>
    </row>
    <row r="281" spans="1:4" x14ac:dyDescent="0.2">
      <c r="A281" s="40" t="s">
        <v>97</v>
      </c>
      <c r="B281" s="140"/>
      <c r="C281" s="140"/>
      <c r="D281" s="140"/>
    </row>
    <row r="282" spans="1:4" x14ac:dyDescent="0.2">
      <c r="A282" s="40" t="s">
        <v>98</v>
      </c>
      <c r="B282" s="140"/>
      <c r="C282" s="140"/>
      <c r="D282" s="140"/>
    </row>
    <row r="283" spans="1:4" x14ac:dyDescent="0.2">
      <c r="A283" s="40" t="s">
        <v>99</v>
      </c>
      <c r="B283" s="140"/>
      <c r="C283" s="140"/>
      <c r="D283" s="140"/>
    </row>
    <row r="284" spans="1:4" x14ac:dyDescent="0.2">
      <c r="A284" s="40" t="s">
        <v>100</v>
      </c>
      <c r="B284" s="140"/>
      <c r="C284" s="140"/>
      <c r="D284" s="140"/>
    </row>
    <row r="285" spans="1:4" x14ac:dyDescent="0.2">
      <c r="A285" s="135" t="s">
        <v>54</v>
      </c>
      <c r="B285" s="50">
        <f>SUM(B281:B284)</f>
        <v>0</v>
      </c>
      <c r="C285" s="50">
        <f>SUM(C281:C284)</f>
        <v>0</v>
      </c>
      <c r="D285" s="50">
        <f>SUM(D281:D284)</f>
        <v>0</v>
      </c>
    </row>
    <row r="286" spans="1:4" x14ac:dyDescent="0.2">
      <c r="A286" s="135"/>
      <c r="B286" s="50"/>
      <c r="C286" s="50"/>
      <c r="D286" s="50"/>
    </row>
    <row r="287" spans="1:4" x14ac:dyDescent="0.2">
      <c r="A287" s="135" t="s">
        <v>354</v>
      </c>
      <c r="B287" s="50">
        <f>B251+B257+B263+B269+B273+B279+B285</f>
        <v>0</v>
      </c>
      <c r="C287" s="50">
        <f>C251+C257+C263+C269+C273+C279+C285</f>
        <v>0</v>
      </c>
      <c r="D287" s="50">
        <f>D251+D257+D263+D269+D273+D279+D285</f>
        <v>0</v>
      </c>
    </row>
    <row r="288" spans="1:4" x14ac:dyDescent="0.2">
      <c r="A288" s="135"/>
      <c r="B288" s="50"/>
      <c r="C288" s="50"/>
      <c r="D288" s="50"/>
    </row>
    <row r="289" spans="1:4" x14ac:dyDescent="0.2">
      <c r="A289" s="135" t="s">
        <v>351</v>
      </c>
      <c r="B289" s="50">
        <f>B57</f>
        <v>2100385</v>
      </c>
      <c r="C289" s="50">
        <f>C57</f>
        <v>2517749</v>
      </c>
      <c r="D289" s="50">
        <f>D57</f>
        <v>2632448</v>
      </c>
    </row>
    <row r="290" spans="1:4" x14ac:dyDescent="0.2">
      <c r="A290" s="26"/>
      <c r="B290" s="50"/>
      <c r="C290" s="50"/>
      <c r="D290" s="50"/>
    </row>
    <row r="291" spans="1:4" x14ac:dyDescent="0.2">
      <c r="A291" s="135" t="s">
        <v>350</v>
      </c>
      <c r="B291" s="50">
        <f>B116</f>
        <v>568320</v>
      </c>
      <c r="C291" s="50">
        <f>C116</f>
        <v>851854</v>
      </c>
      <c r="D291" s="50">
        <f>D116</f>
        <v>881632</v>
      </c>
    </row>
    <row r="292" spans="1:4" x14ac:dyDescent="0.2">
      <c r="A292" s="26"/>
      <c r="B292" s="50"/>
      <c r="C292" s="50"/>
      <c r="D292" s="50"/>
    </row>
    <row r="293" spans="1:4" x14ac:dyDescent="0.2">
      <c r="A293" s="135" t="s">
        <v>352</v>
      </c>
      <c r="B293" s="50">
        <f>B176</f>
        <v>0</v>
      </c>
      <c r="C293" s="50">
        <f>C176</f>
        <v>0</v>
      </c>
      <c r="D293" s="50">
        <f>D176</f>
        <v>0</v>
      </c>
    </row>
    <row r="294" spans="1:4" x14ac:dyDescent="0.2">
      <c r="A294" s="26"/>
      <c r="B294" s="50"/>
      <c r="C294" s="50"/>
      <c r="D294" s="50"/>
    </row>
    <row r="295" spans="1:4" x14ac:dyDescent="0.2">
      <c r="A295" s="135" t="s">
        <v>353</v>
      </c>
      <c r="B295" s="50">
        <f>B237</f>
        <v>0</v>
      </c>
      <c r="C295" s="50">
        <f>C237</f>
        <v>0</v>
      </c>
      <c r="D295" s="50">
        <f>D237</f>
        <v>0</v>
      </c>
    </row>
    <row r="296" spans="1:4" x14ac:dyDescent="0.2">
      <c r="A296" s="26"/>
      <c r="B296" s="50"/>
      <c r="C296" s="50"/>
      <c r="D296" s="50"/>
    </row>
    <row r="297" spans="1:4" ht="16.5" thickBot="1" x14ac:dyDescent="0.25">
      <c r="A297" s="103" t="s">
        <v>28</v>
      </c>
      <c r="B297" s="157">
        <f>SUM(B287:B296)</f>
        <v>2668705</v>
      </c>
      <c r="C297" s="157">
        <f>SUM(C287:C296)</f>
        <v>3369603</v>
      </c>
      <c r="D297" s="157">
        <f>SUM(D287:D296)</f>
        <v>3514080</v>
      </c>
    </row>
    <row r="298" spans="1:4" ht="16.5" thickTop="1" x14ac:dyDescent="0.2">
      <c r="A298" s="135"/>
      <c r="B298" s="135"/>
      <c r="C298" s="135"/>
      <c r="D298" s="135"/>
    </row>
    <row r="299" spans="1:4" x14ac:dyDescent="0.2">
      <c r="A299" s="158" t="s">
        <v>29</v>
      </c>
      <c r="B299" s="159"/>
      <c r="C299" s="159"/>
      <c r="D299" s="159"/>
    </row>
    <row r="300" spans="1:4" x14ac:dyDescent="0.2">
      <c r="A300" s="600" t="s">
        <v>355</v>
      </c>
      <c r="B300" s="600"/>
      <c r="C300" s="600"/>
      <c r="D300" s="600"/>
    </row>
    <row r="301" spans="1:4" x14ac:dyDescent="0.2">
      <c r="B301" s="160"/>
      <c r="C301" s="160"/>
      <c r="D301" s="160"/>
    </row>
    <row r="302" spans="1:4" x14ac:dyDescent="0.2">
      <c r="B302" s="160"/>
      <c r="C302" s="160"/>
      <c r="D302" s="160"/>
    </row>
    <row r="303" spans="1:4" x14ac:dyDescent="0.2">
      <c r="B303" s="160"/>
      <c r="C303" s="160"/>
      <c r="D303" s="160"/>
    </row>
    <row r="304" spans="1:4" x14ac:dyDescent="0.2">
      <c r="B304" s="160"/>
      <c r="C304" s="160"/>
      <c r="D304" s="160"/>
    </row>
    <row r="305" spans="2:4" x14ac:dyDescent="0.2">
      <c r="B305" s="160"/>
      <c r="C305" s="160"/>
      <c r="D305" s="160"/>
    </row>
    <row r="306" spans="2:4" x14ac:dyDescent="0.2">
      <c r="B306" s="160"/>
      <c r="C306" s="160"/>
      <c r="D306" s="160"/>
    </row>
    <row r="307" spans="2:4" x14ac:dyDescent="0.2">
      <c r="B307" s="160"/>
      <c r="C307" s="160"/>
      <c r="D307" s="160"/>
    </row>
    <row r="308" spans="2:4" x14ac:dyDescent="0.2">
      <c r="B308" s="160"/>
      <c r="C308" s="160"/>
      <c r="D308" s="160"/>
    </row>
    <row r="309" spans="2:4" x14ac:dyDescent="0.2">
      <c r="B309" s="160"/>
      <c r="C309" s="160"/>
      <c r="D309" s="160"/>
    </row>
    <row r="310" spans="2:4" x14ac:dyDescent="0.2">
      <c r="B310" s="160"/>
      <c r="C310" s="160"/>
      <c r="D310" s="160"/>
    </row>
    <row r="311" spans="2:4" x14ac:dyDescent="0.2">
      <c r="B311" s="160"/>
      <c r="C311" s="160"/>
      <c r="D311" s="160"/>
    </row>
    <row r="312" spans="2:4" x14ac:dyDescent="0.2">
      <c r="B312" s="160"/>
      <c r="C312" s="160"/>
      <c r="D312" s="160"/>
    </row>
    <row r="313" spans="2:4" x14ac:dyDescent="0.2">
      <c r="B313" s="160"/>
      <c r="C313" s="160"/>
      <c r="D313" s="160"/>
    </row>
    <row r="314" spans="2:4" x14ac:dyDescent="0.2">
      <c r="B314" s="160"/>
      <c r="C314" s="160"/>
      <c r="D314" s="160"/>
    </row>
    <row r="315" spans="2:4" x14ac:dyDescent="0.2">
      <c r="B315" s="160"/>
      <c r="C315" s="160"/>
      <c r="D315" s="160"/>
    </row>
    <row r="316" spans="2:4" x14ac:dyDescent="0.2">
      <c r="B316" s="160"/>
      <c r="C316" s="160"/>
      <c r="D316" s="160"/>
    </row>
    <row r="317" spans="2:4" x14ac:dyDescent="0.2">
      <c r="B317" s="160"/>
      <c r="C317" s="160"/>
      <c r="D317" s="160"/>
    </row>
    <row r="318" spans="2:4" x14ac:dyDescent="0.2">
      <c r="B318" s="160"/>
      <c r="C318" s="160"/>
      <c r="D318" s="160"/>
    </row>
    <row r="319" spans="2:4" x14ac:dyDescent="0.2">
      <c r="B319" s="160"/>
      <c r="C319" s="160"/>
      <c r="D319" s="160"/>
    </row>
    <row r="320" spans="2:4" x14ac:dyDescent="0.2">
      <c r="B320" s="160"/>
      <c r="C320" s="160"/>
      <c r="D320" s="160"/>
    </row>
    <row r="321" spans="2:4" x14ac:dyDescent="0.2">
      <c r="B321" s="160"/>
      <c r="C321" s="160"/>
      <c r="D321" s="160"/>
    </row>
    <row r="322" spans="2:4" x14ac:dyDescent="0.2">
      <c r="B322" s="160"/>
      <c r="C322" s="160"/>
      <c r="D322" s="160"/>
    </row>
    <row r="323" spans="2:4" x14ac:dyDescent="0.2">
      <c r="B323" s="160"/>
      <c r="C323" s="160"/>
      <c r="D323" s="160"/>
    </row>
    <row r="324" spans="2:4" x14ac:dyDescent="0.2">
      <c r="B324" s="160"/>
      <c r="C324" s="160"/>
      <c r="D324" s="160"/>
    </row>
    <row r="325" spans="2:4" x14ac:dyDescent="0.2">
      <c r="B325" s="160"/>
      <c r="C325" s="160"/>
      <c r="D325" s="160"/>
    </row>
    <row r="326" spans="2:4" x14ac:dyDescent="0.2">
      <c r="B326" s="160"/>
      <c r="C326" s="160"/>
      <c r="D326" s="160"/>
    </row>
    <row r="327" spans="2:4" x14ac:dyDescent="0.2">
      <c r="B327" s="160"/>
      <c r="C327" s="160"/>
      <c r="D327" s="160"/>
    </row>
    <row r="328" spans="2:4" x14ac:dyDescent="0.2">
      <c r="B328" s="160"/>
      <c r="C328" s="160"/>
      <c r="D328" s="160"/>
    </row>
    <row r="329" spans="2:4" x14ac:dyDescent="0.2">
      <c r="B329" s="160"/>
      <c r="C329" s="160"/>
      <c r="D329" s="160"/>
    </row>
    <row r="330" spans="2:4" x14ac:dyDescent="0.2">
      <c r="B330" s="160"/>
      <c r="C330" s="160"/>
      <c r="D330" s="160"/>
    </row>
    <row r="331" spans="2:4" x14ac:dyDescent="0.2">
      <c r="B331" s="160"/>
      <c r="C331" s="160"/>
      <c r="D331" s="160"/>
    </row>
    <row r="332" spans="2:4" x14ac:dyDescent="0.2">
      <c r="B332" s="160"/>
      <c r="C332" s="160"/>
      <c r="D332" s="160"/>
    </row>
    <row r="333" spans="2:4" x14ac:dyDescent="0.2">
      <c r="B333" s="160"/>
      <c r="C333" s="160"/>
      <c r="D333" s="160"/>
    </row>
    <row r="334" spans="2:4" x14ac:dyDescent="0.2">
      <c r="B334" s="160"/>
      <c r="C334" s="160"/>
      <c r="D334" s="160"/>
    </row>
    <row r="335" spans="2:4" x14ac:dyDescent="0.2">
      <c r="B335" s="160"/>
      <c r="C335" s="160"/>
      <c r="D335" s="160"/>
    </row>
    <row r="336" spans="2:4" x14ac:dyDescent="0.2">
      <c r="B336" s="160"/>
      <c r="C336" s="160"/>
      <c r="D336" s="160"/>
    </row>
    <row r="337" spans="2:4" x14ac:dyDescent="0.2">
      <c r="B337" s="160"/>
      <c r="C337" s="160"/>
      <c r="D337" s="160"/>
    </row>
    <row r="338" spans="2:4" x14ac:dyDescent="0.2">
      <c r="B338" s="160"/>
      <c r="C338" s="160"/>
      <c r="D338" s="160"/>
    </row>
    <row r="339" spans="2:4" x14ac:dyDescent="0.2">
      <c r="B339" s="160"/>
      <c r="C339" s="160"/>
      <c r="D339" s="160"/>
    </row>
    <row r="340" spans="2:4" x14ac:dyDescent="0.2">
      <c r="B340" s="160"/>
      <c r="C340" s="160"/>
      <c r="D340" s="160"/>
    </row>
    <row r="341" spans="2:4" x14ac:dyDescent="0.2">
      <c r="B341" s="160"/>
      <c r="C341" s="160"/>
      <c r="D341" s="160"/>
    </row>
    <row r="342" spans="2:4" x14ac:dyDescent="0.2">
      <c r="B342" s="160"/>
      <c r="C342" s="160"/>
      <c r="D342" s="160"/>
    </row>
    <row r="343" spans="2:4" x14ac:dyDescent="0.2">
      <c r="B343" s="160"/>
      <c r="C343" s="160"/>
      <c r="D343" s="160"/>
    </row>
    <row r="344" spans="2:4" x14ac:dyDescent="0.2">
      <c r="B344" s="160"/>
      <c r="C344" s="160"/>
      <c r="D344" s="160"/>
    </row>
    <row r="345" spans="2:4" x14ac:dyDescent="0.2">
      <c r="B345" s="160"/>
      <c r="C345" s="160"/>
      <c r="D345" s="160"/>
    </row>
    <row r="346" spans="2:4" x14ac:dyDescent="0.2">
      <c r="B346" s="160"/>
      <c r="C346" s="160"/>
      <c r="D346" s="160"/>
    </row>
    <row r="347" spans="2:4" x14ac:dyDescent="0.2">
      <c r="B347" s="160"/>
      <c r="C347" s="160"/>
      <c r="D347" s="160"/>
    </row>
    <row r="348" spans="2:4" x14ac:dyDescent="0.2">
      <c r="B348" s="160"/>
      <c r="C348" s="160"/>
      <c r="D348" s="160"/>
    </row>
    <row r="349" spans="2:4" x14ac:dyDescent="0.2">
      <c r="B349" s="160"/>
      <c r="C349" s="160"/>
      <c r="D349" s="160"/>
    </row>
    <row r="350" spans="2:4" x14ac:dyDescent="0.2">
      <c r="B350" s="160"/>
      <c r="C350" s="160"/>
      <c r="D350" s="160"/>
    </row>
    <row r="351" spans="2:4" x14ac:dyDescent="0.2">
      <c r="B351" s="160"/>
      <c r="C351" s="160"/>
      <c r="D351" s="160"/>
    </row>
    <row r="352" spans="2:4" x14ac:dyDescent="0.2">
      <c r="B352" s="160"/>
      <c r="C352" s="160"/>
      <c r="D352" s="160"/>
    </row>
    <row r="353" spans="2:4" x14ac:dyDescent="0.2">
      <c r="B353" s="160"/>
      <c r="C353" s="160"/>
      <c r="D353" s="160"/>
    </row>
    <row r="354" spans="2:4" x14ac:dyDescent="0.2">
      <c r="B354" s="160"/>
      <c r="C354" s="160"/>
      <c r="D354" s="160"/>
    </row>
    <row r="355" spans="2:4" x14ac:dyDescent="0.2">
      <c r="B355" s="160"/>
      <c r="C355" s="160"/>
      <c r="D355" s="160"/>
    </row>
    <row r="356" spans="2:4" x14ac:dyDescent="0.2">
      <c r="B356" s="160"/>
      <c r="C356" s="160"/>
      <c r="D356" s="160"/>
    </row>
    <row r="357" spans="2:4" x14ac:dyDescent="0.2">
      <c r="B357" s="160"/>
      <c r="C357" s="160"/>
      <c r="D357" s="160"/>
    </row>
    <row r="358" spans="2:4" x14ac:dyDescent="0.2">
      <c r="B358" s="160"/>
      <c r="C358" s="160"/>
      <c r="D358" s="160"/>
    </row>
    <row r="359" spans="2:4" x14ac:dyDescent="0.2">
      <c r="B359" s="160"/>
      <c r="C359" s="160"/>
      <c r="D359" s="160"/>
    </row>
    <row r="360" spans="2:4" x14ac:dyDescent="0.2">
      <c r="B360" s="160"/>
      <c r="C360" s="160"/>
      <c r="D360" s="160"/>
    </row>
    <row r="361" spans="2:4" x14ac:dyDescent="0.2">
      <c r="B361" s="160"/>
      <c r="C361" s="160"/>
      <c r="D361" s="160"/>
    </row>
    <row r="362" spans="2:4" x14ac:dyDescent="0.2">
      <c r="B362" s="160"/>
      <c r="C362" s="160"/>
      <c r="D362" s="160"/>
    </row>
    <row r="363" spans="2:4" x14ac:dyDescent="0.2">
      <c r="B363" s="160"/>
      <c r="C363" s="160"/>
      <c r="D363" s="160"/>
    </row>
    <row r="364" spans="2:4" x14ac:dyDescent="0.2">
      <c r="B364" s="160"/>
      <c r="C364" s="160"/>
      <c r="D364" s="160"/>
    </row>
    <row r="365" spans="2:4" x14ac:dyDescent="0.2">
      <c r="B365" s="160"/>
      <c r="C365" s="160"/>
      <c r="D365" s="160"/>
    </row>
    <row r="366" spans="2:4" x14ac:dyDescent="0.2">
      <c r="B366" s="160"/>
      <c r="C366" s="160"/>
      <c r="D366" s="160"/>
    </row>
    <row r="367" spans="2:4" x14ac:dyDescent="0.2">
      <c r="B367" s="160"/>
      <c r="C367" s="160"/>
      <c r="D367" s="160"/>
    </row>
    <row r="368" spans="2:4" x14ac:dyDescent="0.2">
      <c r="B368" s="160"/>
      <c r="C368" s="160"/>
      <c r="D368" s="160"/>
    </row>
    <row r="369" spans="2:4" x14ac:dyDescent="0.2">
      <c r="B369" s="160"/>
      <c r="C369" s="160"/>
      <c r="D369" s="160"/>
    </row>
    <row r="370" spans="2:4" x14ac:dyDescent="0.2">
      <c r="B370" s="160"/>
      <c r="C370" s="160"/>
      <c r="D370" s="160"/>
    </row>
    <row r="371" spans="2:4" x14ac:dyDescent="0.2">
      <c r="B371" s="160"/>
      <c r="C371" s="160"/>
      <c r="D371" s="160"/>
    </row>
    <row r="372" spans="2:4" x14ac:dyDescent="0.2">
      <c r="B372" s="160"/>
      <c r="C372" s="160"/>
      <c r="D372" s="160"/>
    </row>
    <row r="373" spans="2:4" x14ac:dyDescent="0.2">
      <c r="B373" s="160"/>
      <c r="C373" s="160"/>
      <c r="D373" s="160"/>
    </row>
    <row r="374" spans="2:4" x14ac:dyDescent="0.2">
      <c r="B374" s="160"/>
      <c r="C374" s="160"/>
      <c r="D374" s="160"/>
    </row>
    <row r="375" spans="2:4" x14ac:dyDescent="0.2">
      <c r="B375" s="160"/>
      <c r="C375" s="160"/>
      <c r="D375" s="160"/>
    </row>
    <row r="376" spans="2:4" x14ac:dyDescent="0.2">
      <c r="B376" s="160"/>
      <c r="C376" s="160"/>
      <c r="D376" s="160"/>
    </row>
    <row r="377" spans="2:4" x14ac:dyDescent="0.2">
      <c r="B377" s="160"/>
      <c r="C377" s="160"/>
      <c r="D377" s="160"/>
    </row>
    <row r="378" spans="2:4" x14ac:dyDescent="0.2">
      <c r="B378" s="160"/>
      <c r="C378" s="160"/>
      <c r="D378" s="160"/>
    </row>
    <row r="379" spans="2:4" x14ac:dyDescent="0.2">
      <c r="B379" s="160"/>
      <c r="C379" s="160"/>
      <c r="D379" s="160"/>
    </row>
    <row r="380" spans="2:4" x14ac:dyDescent="0.2">
      <c r="B380" s="160"/>
      <c r="C380" s="160"/>
      <c r="D380" s="160"/>
    </row>
    <row r="381" spans="2:4" x14ac:dyDescent="0.2">
      <c r="B381" s="160"/>
      <c r="C381" s="160"/>
      <c r="D381" s="160"/>
    </row>
    <row r="382" spans="2:4" x14ac:dyDescent="0.2">
      <c r="B382" s="160"/>
      <c r="C382" s="160"/>
      <c r="D382" s="160"/>
    </row>
    <row r="383" spans="2:4" x14ac:dyDescent="0.2">
      <c r="B383" s="160"/>
      <c r="C383" s="160"/>
      <c r="D383" s="160"/>
    </row>
    <row r="384" spans="2:4" x14ac:dyDescent="0.2">
      <c r="B384" s="160"/>
      <c r="C384" s="160"/>
      <c r="D384" s="160"/>
    </row>
    <row r="385" spans="2:4" x14ac:dyDescent="0.2">
      <c r="B385" s="160"/>
      <c r="C385" s="160"/>
      <c r="D385" s="160"/>
    </row>
    <row r="386" spans="2:4" x14ac:dyDescent="0.2">
      <c r="B386" s="160"/>
      <c r="C386" s="160"/>
      <c r="D386" s="160"/>
    </row>
    <row r="387" spans="2:4" x14ac:dyDescent="0.2">
      <c r="B387" s="160"/>
      <c r="C387" s="160"/>
      <c r="D387" s="160"/>
    </row>
    <row r="388" spans="2:4" x14ac:dyDescent="0.2">
      <c r="B388" s="160"/>
      <c r="C388" s="160"/>
      <c r="D388" s="160"/>
    </row>
    <row r="389" spans="2:4" x14ac:dyDescent="0.2">
      <c r="B389" s="160"/>
      <c r="C389" s="160"/>
      <c r="D389" s="160"/>
    </row>
    <row r="390" spans="2:4" x14ac:dyDescent="0.2">
      <c r="B390" s="160"/>
      <c r="C390" s="160"/>
      <c r="D390" s="160"/>
    </row>
    <row r="391" spans="2:4" x14ac:dyDescent="0.2">
      <c r="B391" s="160"/>
      <c r="C391" s="160"/>
      <c r="D391" s="160"/>
    </row>
    <row r="392" spans="2:4" x14ac:dyDescent="0.2">
      <c r="B392" s="160"/>
      <c r="C392" s="160"/>
      <c r="D392" s="160"/>
    </row>
    <row r="393" spans="2:4" x14ac:dyDescent="0.2">
      <c r="B393" s="160"/>
      <c r="C393" s="160"/>
      <c r="D393" s="160"/>
    </row>
    <row r="394" spans="2:4" x14ac:dyDescent="0.2">
      <c r="B394" s="160"/>
      <c r="C394" s="160"/>
      <c r="D394" s="160"/>
    </row>
    <row r="395" spans="2:4" x14ac:dyDescent="0.2">
      <c r="B395" s="160"/>
      <c r="C395" s="160"/>
      <c r="D395" s="160"/>
    </row>
    <row r="396" spans="2:4" x14ac:dyDescent="0.2">
      <c r="B396" s="160"/>
      <c r="C396" s="160"/>
      <c r="D396" s="160"/>
    </row>
    <row r="397" spans="2:4" x14ac:dyDescent="0.2">
      <c r="B397" s="160"/>
      <c r="C397" s="160"/>
      <c r="D397" s="160"/>
    </row>
    <row r="398" spans="2:4" x14ac:dyDescent="0.2">
      <c r="B398" s="160"/>
      <c r="C398" s="160"/>
      <c r="D398" s="160"/>
    </row>
    <row r="399" spans="2:4" x14ac:dyDescent="0.2">
      <c r="B399" s="160"/>
      <c r="C399" s="160"/>
      <c r="D399" s="160"/>
    </row>
    <row r="400" spans="2:4" x14ac:dyDescent="0.2">
      <c r="B400" s="160"/>
      <c r="C400" s="160"/>
      <c r="D400" s="160"/>
    </row>
    <row r="401" spans="2:4" x14ac:dyDescent="0.2">
      <c r="B401" s="160"/>
      <c r="C401" s="160"/>
      <c r="D401" s="160"/>
    </row>
    <row r="402" spans="2:4" x14ac:dyDescent="0.2">
      <c r="B402" s="160"/>
      <c r="C402" s="160"/>
      <c r="D402" s="160"/>
    </row>
    <row r="403" spans="2:4" x14ac:dyDescent="0.2">
      <c r="B403" s="160"/>
      <c r="C403" s="160"/>
      <c r="D403" s="160"/>
    </row>
  </sheetData>
  <sheetProtection sheet="1" objects="1" scenarios="1"/>
  <mergeCells count="20">
    <mergeCell ref="B4:B5"/>
    <mergeCell ref="C4:C5"/>
    <mergeCell ref="D4:D5"/>
    <mergeCell ref="B64:B65"/>
    <mergeCell ref="C64:C65"/>
    <mergeCell ref="D64:D65"/>
    <mergeCell ref="A300:D300"/>
    <mergeCell ref="A59:D59"/>
    <mergeCell ref="A118:D118"/>
    <mergeCell ref="A178:D178"/>
    <mergeCell ref="A239:D239"/>
    <mergeCell ref="B122:B123"/>
    <mergeCell ref="C122:C123"/>
    <mergeCell ref="D122:D123"/>
    <mergeCell ref="B182:B183"/>
    <mergeCell ref="C182:C183"/>
    <mergeCell ref="D182:D183"/>
    <mergeCell ref="B243:B244"/>
    <mergeCell ref="C243:C244"/>
    <mergeCell ref="D243:D244"/>
  </mergeCells>
  <phoneticPr fontId="0" type="noConversion"/>
  <pageMargins left="1.1200000000000001" right="0.5" top="0.74" bottom="0.34" header="0.5" footer="0"/>
  <pageSetup scale="71" orientation="portrait" blackAndWhite="1" r:id="rId1"/>
  <headerFooter alignWithMargins="0">
    <oddHeader xml:space="preserve">&amp;RState of Kansas
County
</oddHeader>
  </headerFooter>
  <rowBreaks count="4" manualBreakCount="4">
    <brk id="59" max="16383" man="1"/>
    <brk id="118" max="3" man="1"/>
    <brk id="178" max="16383" man="1"/>
    <brk id="2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F0"/>
    <pageSetUpPr fitToPage="1"/>
  </sheetPr>
  <dimension ref="B1:K77"/>
  <sheetViews>
    <sheetView zoomScaleNormal="100" workbookViewId="0">
      <selection activeCell="C50" sqref="C50:E50"/>
    </sheetView>
  </sheetViews>
  <sheetFormatPr defaultRowHeight="15.75" x14ac:dyDescent="0.2"/>
  <cols>
    <col min="1" max="1" width="2.44140625" style="56" customWidth="1"/>
    <col min="2" max="2" width="31.109375" style="56" customWidth="1"/>
    <col min="3" max="4" width="16.21875" style="56" customWidth="1"/>
    <col min="5" max="5" width="16.33203125" style="56" customWidth="1"/>
    <col min="6" max="6" width="7.44140625" style="56" customWidth="1"/>
    <col min="7" max="7" width="10.21875" style="56" customWidth="1"/>
    <col min="8" max="8" width="8.88671875" style="56"/>
    <col min="9" max="9" width="5.88671875" style="56" customWidth="1"/>
    <col min="10" max="10" width="10" style="56" customWidth="1"/>
    <col min="11" max="16384" width="8.88671875" style="56"/>
  </cols>
  <sheetData>
    <row r="1" spans="2:5" x14ac:dyDescent="0.2">
      <c r="B1" s="57" t="str">
        <f>inputPrYr!C3</f>
        <v>Doniphan County</v>
      </c>
      <c r="C1" s="26"/>
      <c r="D1" s="26"/>
      <c r="E1" s="98">
        <f>inputPrYr!$C$5</f>
        <v>2024</v>
      </c>
    </row>
    <row r="2" spans="2:5" x14ac:dyDescent="0.2">
      <c r="B2" s="26"/>
      <c r="C2" s="26"/>
      <c r="D2" s="26"/>
      <c r="E2" s="90"/>
    </row>
    <row r="3" spans="2:5" x14ac:dyDescent="0.2">
      <c r="B3" s="64" t="s">
        <v>172</v>
      </c>
      <c r="C3" s="161"/>
      <c r="D3" s="161"/>
      <c r="E3" s="162"/>
    </row>
    <row r="4" spans="2:5" x14ac:dyDescent="0.2">
      <c r="B4" s="26"/>
      <c r="C4" s="155"/>
      <c r="D4" s="155"/>
      <c r="E4" s="155"/>
    </row>
    <row r="5" spans="2:5" x14ac:dyDescent="0.2">
      <c r="B5" s="25" t="s">
        <v>80</v>
      </c>
      <c r="C5" s="333" t="s">
        <v>306</v>
      </c>
      <c r="D5" s="334" t="s">
        <v>307</v>
      </c>
      <c r="E5" s="80" t="s">
        <v>308</v>
      </c>
    </row>
    <row r="6" spans="2:5" x14ac:dyDescent="0.2">
      <c r="B6" s="247" t="str">
        <f>inputPrYr!B18</f>
        <v>Debt Service</v>
      </c>
      <c r="C6" s="231" t="str">
        <f>CONCATENATE("Actual for ",E1-2,"")</f>
        <v>Actual for 2022</v>
      </c>
      <c r="D6" s="231" t="str">
        <f>CONCATENATE("Estimate for ",E1-1,"")</f>
        <v>Estimate for 2023</v>
      </c>
      <c r="E6" s="136" t="str">
        <f>CONCATENATE("Year for ",E1,"")</f>
        <v>Year for 2024</v>
      </c>
    </row>
    <row r="7" spans="2:5" x14ac:dyDescent="0.2">
      <c r="B7" s="60" t="s">
        <v>182</v>
      </c>
      <c r="C7" s="234"/>
      <c r="D7" s="236">
        <f>C53</f>
        <v>0</v>
      </c>
      <c r="E7" s="163">
        <f>D53</f>
        <v>0</v>
      </c>
    </row>
    <row r="8" spans="2:5" x14ac:dyDescent="0.2">
      <c r="B8" s="164" t="s">
        <v>184</v>
      </c>
      <c r="C8" s="235"/>
      <c r="D8" s="236"/>
      <c r="E8" s="163"/>
    </row>
    <row r="9" spans="2:5" x14ac:dyDescent="0.2">
      <c r="B9" s="60" t="s">
        <v>81</v>
      </c>
      <c r="C9" s="229"/>
      <c r="D9" s="233">
        <f>IF(inputPrYr!H18&gt;0,inputPrYr!H18,inputPrYr!E18)</f>
        <v>0</v>
      </c>
      <c r="E9" s="165" t="s">
        <v>66</v>
      </c>
    </row>
    <row r="10" spans="2:5" x14ac:dyDescent="0.2">
      <c r="B10" s="60" t="s">
        <v>82</v>
      </c>
      <c r="C10" s="229"/>
      <c r="D10" s="229"/>
      <c r="E10" s="166"/>
    </row>
    <row r="11" spans="2:5" x14ac:dyDescent="0.2">
      <c r="B11" s="60" t="s">
        <v>83</v>
      </c>
      <c r="C11" s="229"/>
      <c r="D11" s="229"/>
      <c r="E11" s="167" t="str">
        <f>Mvalloc!D8</f>
        <v xml:space="preserve"> </v>
      </c>
    </row>
    <row r="12" spans="2:5" x14ac:dyDescent="0.2">
      <c r="B12" s="60" t="s">
        <v>84</v>
      </c>
      <c r="C12" s="229"/>
      <c r="D12" s="229"/>
      <c r="E12" s="167" t="str">
        <f>Mvalloc!E8</f>
        <v xml:space="preserve"> </v>
      </c>
    </row>
    <row r="13" spans="2:5" x14ac:dyDescent="0.2">
      <c r="B13" s="137" t="s">
        <v>177</v>
      </c>
      <c r="C13" s="229"/>
      <c r="D13" s="229"/>
      <c r="E13" s="167" t="str">
        <f>Mvalloc!F8</f>
        <v xml:space="preserve"> </v>
      </c>
    </row>
    <row r="14" spans="2:5" x14ac:dyDescent="0.2">
      <c r="B14" s="137" t="s">
        <v>335</v>
      </c>
      <c r="C14" s="229"/>
      <c r="D14" s="229"/>
      <c r="E14" s="167" t="str">
        <f>Mvalloc!G8</f>
        <v xml:space="preserve"> </v>
      </c>
    </row>
    <row r="15" spans="2:5" x14ac:dyDescent="0.2">
      <c r="B15" s="137" t="s">
        <v>336</v>
      </c>
      <c r="C15" s="229"/>
      <c r="D15" s="229"/>
      <c r="E15" s="167" t="str">
        <f>Mvalloc!H8</f>
        <v xml:space="preserve"> </v>
      </c>
    </row>
    <row r="16" spans="2:5" x14ac:dyDescent="0.2">
      <c r="B16" s="142"/>
      <c r="C16" s="229"/>
      <c r="D16" s="229"/>
      <c r="E16" s="168"/>
    </row>
    <row r="17" spans="2:10" x14ac:dyDescent="0.2">
      <c r="B17" s="142"/>
      <c r="C17" s="229"/>
      <c r="D17" s="229"/>
      <c r="E17" s="166"/>
    </row>
    <row r="18" spans="2:10" x14ac:dyDescent="0.2">
      <c r="B18" s="142"/>
      <c r="C18" s="229"/>
      <c r="D18" s="229"/>
      <c r="E18" s="166"/>
    </row>
    <row r="19" spans="2:10" x14ac:dyDescent="0.2">
      <c r="B19" s="142"/>
      <c r="C19" s="229"/>
      <c r="D19" s="229"/>
      <c r="E19" s="166"/>
    </row>
    <row r="20" spans="2:10" x14ac:dyDescent="0.2">
      <c r="B20" s="142"/>
      <c r="C20" s="229"/>
      <c r="D20" s="229"/>
      <c r="E20" s="166"/>
    </row>
    <row r="21" spans="2:10" x14ac:dyDescent="0.2">
      <c r="B21" s="142"/>
      <c r="C21" s="229"/>
      <c r="D21" s="229"/>
      <c r="E21" s="166"/>
    </row>
    <row r="22" spans="2:10" x14ac:dyDescent="0.2">
      <c r="B22" s="142"/>
      <c r="C22" s="229"/>
      <c r="D22" s="229"/>
      <c r="E22" s="166"/>
    </row>
    <row r="23" spans="2:10" x14ac:dyDescent="0.2">
      <c r="B23" s="142"/>
      <c r="C23" s="229"/>
      <c r="D23" s="229"/>
      <c r="E23" s="166"/>
    </row>
    <row r="24" spans="2:10" x14ac:dyDescent="0.2">
      <c r="B24" s="142" t="s">
        <v>197</v>
      </c>
      <c r="C24" s="229"/>
      <c r="D24" s="229"/>
      <c r="E24" s="166"/>
    </row>
    <row r="25" spans="2:10" x14ac:dyDescent="0.2">
      <c r="B25" s="169" t="s">
        <v>87</v>
      </c>
      <c r="C25" s="229"/>
      <c r="D25" s="229"/>
      <c r="E25" s="166"/>
    </row>
    <row r="26" spans="2:10" x14ac:dyDescent="0.2">
      <c r="B26" s="143" t="s">
        <v>40</v>
      </c>
      <c r="C26" s="229"/>
      <c r="D26" s="229"/>
      <c r="E26" s="163">
        <f>'NR Rebate'!E7*-1</f>
        <v>0</v>
      </c>
    </row>
    <row r="27" spans="2:10" x14ac:dyDescent="0.2">
      <c r="B27" s="143" t="s">
        <v>38</v>
      </c>
      <c r="C27" s="229"/>
      <c r="D27" s="229"/>
      <c r="E27" s="166"/>
      <c r="G27" s="652" t="str">
        <f>CONCATENATE("Desired Carryover Into ",E1+1,"")</f>
        <v>Desired Carryover Into 2025</v>
      </c>
      <c r="H27" s="653"/>
      <c r="I27" s="653"/>
      <c r="J27" s="654"/>
    </row>
    <row r="28" spans="2:10" x14ac:dyDescent="0.2">
      <c r="B28" s="143" t="s">
        <v>39</v>
      </c>
      <c r="C28" s="230" t="str">
        <f>IF(C29*0.1&lt;C27,"Exceed 10% Rule","")</f>
        <v/>
      </c>
      <c r="D28" s="230" t="str">
        <f>IF(D29*0.1&lt;D27,"Exceed 10% Rule","")</f>
        <v/>
      </c>
      <c r="E28" s="170" t="str">
        <f>IF(E29*0.1+E59&lt;E27,"Exceed 10% Rule","")</f>
        <v/>
      </c>
      <c r="G28" s="292"/>
      <c r="H28" s="293"/>
      <c r="I28" s="294"/>
      <c r="J28" s="295"/>
    </row>
    <row r="29" spans="2:10" x14ac:dyDescent="0.2">
      <c r="B29" s="145" t="s">
        <v>88</v>
      </c>
      <c r="C29" s="511">
        <f>SUM(C9:C27)</f>
        <v>0</v>
      </c>
      <c r="D29" s="511">
        <f>SUM(D9:D27)</f>
        <v>0</v>
      </c>
      <c r="E29" s="511">
        <f>SUM(E9:E27)</f>
        <v>0</v>
      </c>
      <c r="G29" s="296" t="s">
        <v>284</v>
      </c>
      <c r="H29" s="294"/>
      <c r="I29" s="294"/>
      <c r="J29" s="297">
        <v>0</v>
      </c>
    </row>
    <row r="30" spans="2:10" x14ac:dyDescent="0.2">
      <c r="B30" s="145" t="s">
        <v>89</v>
      </c>
      <c r="C30" s="511">
        <f>C7+C29</f>
        <v>0</v>
      </c>
      <c r="D30" s="511">
        <f>D7+D29</f>
        <v>0</v>
      </c>
      <c r="E30" s="511">
        <f>E7+E29</f>
        <v>0</v>
      </c>
      <c r="G30" s="292" t="s">
        <v>285</v>
      </c>
      <c r="H30" s="293"/>
      <c r="I30" s="293"/>
      <c r="J30" s="298" t="str">
        <f>IF(J29=0,"",ROUND((J29+E59-G42)/inputOth!E6*1000,3)-G47)</f>
        <v/>
      </c>
    </row>
    <row r="31" spans="2:10" x14ac:dyDescent="0.2">
      <c r="B31" s="164" t="s">
        <v>92</v>
      </c>
      <c r="C31" s="235"/>
      <c r="D31" s="235"/>
      <c r="E31" s="167"/>
      <c r="G31" s="299" t="str">
        <f>CONCATENATE("",E1," Tot Exp/Non-Appr Must Be:")</f>
        <v>2024 Tot Exp/Non-Appr Must Be:</v>
      </c>
      <c r="H31" s="300"/>
      <c r="I31" s="301"/>
      <c r="J31" s="302">
        <f>IF(J29&gt;0,IF(E56&lt;E30,IF(J29=G42,E56,((J29-G42)*(1-D58))+E30),E56+(J29-G42)),0)</f>
        <v>0</v>
      </c>
    </row>
    <row r="32" spans="2:10" x14ac:dyDescent="0.2">
      <c r="B32" s="150"/>
      <c r="C32" s="229"/>
      <c r="D32" s="229"/>
      <c r="E32" s="166"/>
      <c r="G32" s="303" t="s">
        <v>305</v>
      </c>
      <c r="H32" s="304"/>
      <c r="I32" s="304"/>
      <c r="J32" s="305">
        <f>IF(J29&gt;0,J31-E56,0)</f>
        <v>0</v>
      </c>
    </row>
    <row r="33" spans="2:11" x14ac:dyDescent="0.2">
      <c r="B33" s="150"/>
      <c r="C33" s="229"/>
      <c r="D33" s="229"/>
      <c r="E33" s="166"/>
    </row>
    <row r="34" spans="2:11" x14ac:dyDescent="0.2">
      <c r="B34" s="150"/>
      <c r="C34" s="229"/>
      <c r="D34" s="229"/>
      <c r="E34" s="166"/>
      <c r="G34" s="655" t="str">
        <f>CONCATENATE("Projected Carryover Into ",E1+1,"")</f>
        <v>Projected Carryover Into 2025</v>
      </c>
      <c r="H34" s="653"/>
      <c r="I34" s="653"/>
      <c r="J34" s="654"/>
    </row>
    <row r="35" spans="2:11" x14ac:dyDescent="0.2">
      <c r="B35" s="150"/>
      <c r="C35" s="229"/>
      <c r="D35" s="229"/>
      <c r="E35" s="166"/>
      <c r="G35" s="240"/>
      <c r="H35" s="258"/>
      <c r="I35" s="258"/>
      <c r="J35" s="306"/>
    </row>
    <row r="36" spans="2:11" x14ac:dyDescent="0.2">
      <c r="B36" s="150"/>
      <c r="C36" s="229"/>
      <c r="D36" s="229"/>
      <c r="E36" s="166"/>
      <c r="G36" s="261">
        <f>D53</f>
        <v>0</v>
      </c>
      <c r="H36" s="260" t="str">
        <f>CONCATENATE("",E1-1," Ending Cash Balance (est.)")</f>
        <v>2023 Ending Cash Balance (est.)</v>
      </c>
      <c r="I36" s="259"/>
      <c r="J36" s="307"/>
    </row>
    <row r="37" spans="2:11" x14ac:dyDescent="0.2">
      <c r="B37" s="150"/>
      <c r="C37" s="229"/>
      <c r="D37" s="229"/>
      <c r="E37" s="166"/>
      <c r="G37" s="261">
        <f>E29</f>
        <v>0</v>
      </c>
      <c r="H37" s="258" t="str">
        <f>CONCATENATE("",E1," Non-AV Receipts (est.)")</f>
        <v>2024 Non-AV Receipts (est.)</v>
      </c>
      <c r="I37" s="258"/>
      <c r="J37" s="306"/>
    </row>
    <row r="38" spans="2:11" x14ac:dyDescent="0.2">
      <c r="B38" s="150"/>
      <c r="C38" s="229"/>
      <c r="D38" s="229"/>
      <c r="E38" s="166"/>
      <c r="G38" s="257">
        <f>IF(E58&gt;0,E57,E59)</f>
        <v>0</v>
      </c>
      <c r="H38" s="258" t="str">
        <f>CONCATENATE("",E1," Ad Valorem Tax (est.)")</f>
        <v>2024 Ad Valorem Tax (est.)</v>
      </c>
      <c r="I38" s="258"/>
      <c r="J38" s="306"/>
      <c r="K38" s="308" t="str">
        <f>IF(G38=E59,"","Note: Does not include Delinquent Taxes")</f>
        <v/>
      </c>
    </row>
    <row r="39" spans="2:11" x14ac:dyDescent="0.2">
      <c r="B39" s="150"/>
      <c r="C39" s="229"/>
      <c r="D39" s="229"/>
      <c r="E39" s="166"/>
      <c r="G39" s="261">
        <f>SUM(G36:G38)</f>
        <v>0</v>
      </c>
      <c r="H39" s="258" t="str">
        <f>CONCATENATE("Total ",E1," Resources Available")</f>
        <v>Total 2024 Resources Available</v>
      </c>
      <c r="I39" s="259"/>
      <c r="J39" s="307"/>
    </row>
    <row r="40" spans="2:11" x14ac:dyDescent="0.2">
      <c r="B40" s="150"/>
      <c r="C40" s="229"/>
      <c r="D40" s="229"/>
      <c r="E40" s="166"/>
      <c r="G40" s="256"/>
      <c r="H40" s="258"/>
      <c r="I40" s="258"/>
      <c r="J40" s="306"/>
    </row>
    <row r="41" spans="2:11" x14ac:dyDescent="0.2">
      <c r="B41" s="150"/>
      <c r="C41" s="229"/>
      <c r="D41" s="229"/>
      <c r="E41" s="166"/>
      <c r="G41" s="257">
        <f>C52</f>
        <v>0</v>
      </c>
      <c r="H41" s="258" t="str">
        <f>CONCATENATE("Less ",E1-2," Expenditures")</f>
        <v>Less 2022 Expenditures</v>
      </c>
      <c r="I41" s="258"/>
      <c r="J41" s="306"/>
    </row>
    <row r="42" spans="2:11" x14ac:dyDescent="0.2">
      <c r="B42" s="150"/>
      <c r="C42" s="229"/>
      <c r="D42" s="229"/>
      <c r="E42" s="166"/>
      <c r="G42" s="330">
        <f>G39-G41</f>
        <v>0</v>
      </c>
      <c r="H42" s="239" t="str">
        <f>CONCATENATE("Projected ",E1+1," carryover (est.)")</f>
        <v>Projected 2025 carryover (est.)</v>
      </c>
      <c r="I42" s="241"/>
      <c r="J42" s="309"/>
    </row>
    <row r="43" spans="2:11" x14ac:dyDescent="0.2">
      <c r="B43" s="150"/>
      <c r="C43" s="229"/>
      <c r="D43" s="229"/>
      <c r="E43" s="166"/>
    </row>
    <row r="44" spans="2:11" x14ac:dyDescent="0.2">
      <c r="B44" s="150"/>
      <c r="C44" s="229"/>
      <c r="D44" s="229"/>
      <c r="E44" s="166"/>
      <c r="G44" s="633" t="s">
        <v>543</v>
      </c>
      <c r="H44" s="634"/>
      <c r="I44" s="634"/>
      <c r="J44" s="635"/>
    </row>
    <row r="45" spans="2:11" x14ac:dyDescent="0.2">
      <c r="B45" s="150"/>
      <c r="C45" s="229"/>
      <c r="D45" s="229"/>
      <c r="E45" s="166"/>
      <c r="G45" s="636"/>
      <c r="H45" s="637"/>
      <c r="I45" s="637"/>
      <c r="J45" s="638"/>
    </row>
    <row r="46" spans="2:11" x14ac:dyDescent="0.2">
      <c r="B46" s="150"/>
      <c r="C46" s="229"/>
      <c r="D46" s="229"/>
      <c r="E46" s="166"/>
      <c r="G46" s="504" t="str">
        <f>'Budget Hearing Notice'!H17</f>
        <v xml:space="preserve">  </v>
      </c>
      <c r="H46" s="310" t="str">
        <f>CONCATENATE("",E1," Estimated Fund Mill Rate")</f>
        <v>2024 Estimated Fund Mill Rate</v>
      </c>
      <c r="I46" s="505"/>
      <c r="J46" s="506"/>
    </row>
    <row r="47" spans="2:11" x14ac:dyDescent="0.2">
      <c r="B47" s="150"/>
      <c r="C47" s="229"/>
      <c r="D47" s="229"/>
      <c r="E47" s="166"/>
      <c r="G47" s="507" t="str">
        <f>'Budget Hearing Notice'!E17</f>
        <v xml:space="preserve">  </v>
      </c>
      <c r="H47" s="310" t="str">
        <f>CONCATENATE("",E1-1," Fund Mill Rate")</f>
        <v>2023 Fund Mill Rate</v>
      </c>
      <c r="I47" s="505"/>
      <c r="J47" s="506"/>
    </row>
    <row r="48" spans="2:11" x14ac:dyDescent="0.2">
      <c r="B48" s="150"/>
      <c r="C48" s="229"/>
      <c r="D48" s="229"/>
      <c r="E48" s="166"/>
      <c r="G48" s="508">
        <f>'Budget Hearing Notice'!H62</f>
        <v>36.917000000000002</v>
      </c>
      <c r="H48" s="509" t="s">
        <v>544</v>
      </c>
      <c r="I48" s="505"/>
      <c r="J48" s="506"/>
    </row>
    <row r="49" spans="2:10" x14ac:dyDescent="0.2">
      <c r="B49" s="143" t="str">
        <f>CONCATENATE("Cash Basis Reserve (",E1," column)")</f>
        <v>Cash Basis Reserve (2024 column)</v>
      </c>
      <c r="C49" s="229"/>
      <c r="D49" s="229"/>
      <c r="E49" s="166"/>
      <c r="G49" s="504">
        <f>'Budget Hearing Notice'!H61</f>
        <v>36.917000000000002</v>
      </c>
      <c r="H49" s="310" t="str">
        <f>CONCATENATE(E1," Estimated Total Mill Rate")</f>
        <v>2024 Estimated Total Mill Rate</v>
      </c>
      <c r="I49" s="505"/>
      <c r="J49" s="506"/>
    </row>
    <row r="50" spans="2:10" x14ac:dyDescent="0.2">
      <c r="B50" s="143" t="s">
        <v>38</v>
      </c>
      <c r="C50" s="229"/>
      <c r="D50" s="229"/>
      <c r="E50" s="166"/>
      <c r="G50" s="510">
        <f>'Budget Hearing Notice'!E61</f>
        <v>36.946999999999996</v>
      </c>
      <c r="H50" s="310" t="str">
        <f>CONCATENATE(E1-1," Total Mill Rate")</f>
        <v>2023 Total Mill Rate</v>
      </c>
      <c r="I50" s="505"/>
      <c r="J50" s="506"/>
    </row>
    <row r="51" spans="2:10" x14ac:dyDescent="0.2">
      <c r="B51" s="143" t="s">
        <v>41</v>
      </c>
      <c r="C51" s="230" t="str">
        <f>IF(C52*0.1&lt;C50,"Exceed 10% Rule","")</f>
        <v/>
      </c>
      <c r="D51" s="230" t="str">
        <f>IF(D52*0.1&lt;D50,"Exceed 10% Rule","")</f>
        <v/>
      </c>
      <c r="E51" s="170" t="str">
        <f>IF(E52*0.1&lt;E50,"Exceed 10% Rule","")</f>
        <v/>
      </c>
      <c r="G51" s="321"/>
      <c r="H51" s="293"/>
      <c r="I51" s="293"/>
      <c r="J51" s="323"/>
    </row>
    <row r="52" spans="2:10" x14ac:dyDescent="0.2">
      <c r="B52" s="145" t="s">
        <v>93</v>
      </c>
      <c r="C52" s="511">
        <f>SUM(C32:C50)</f>
        <v>0</v>
      </c>
      <c r="D52" s="511">
        <f>SUM(D32:D50)</f>
        <v>0</v>
      </c>
      <c r="E52" s="511">
        <f>SUM(E32:E50)</f>
        <v>0</v>
      </c>
      <c r="G52" s="639" t="s">
        <v>545</v>
      </c>
      <c r="H52" s="640"/>
      <c r="I52" s="640"/>
      <c r="J52" s="643" t="str">
        <f>IF(G49&gt;G48, "Yes", "No")</f>
        <v>No</v>
      </c>
    </row>
    <row r="53" spans="2:10" x14ac:dyDescent="0.2">
      <c r="B53" s="60" t="s">
        <v>183</v>
      </c>
      <c r="C53" s="163">
        <f>C30-C52</f>
        <v>0</v>
      </c>
      <c r="D53" s="163">
        <f>D30-D52</f>
        <v>0</v>
      </c>
      <c r="E53" s="165" t="s">
        <v>66</v>
      </c>
      <c r="G53" s="641"/>
      <c r="H53" s="642"/>
      <c r="I53" s="642"/>
      <c r="J53" s="644"/>
    </row>
    <row r="54" spans="2:10" x14ac:dyDescent="0.2">
      <c r="B54" s="135" t="str">
        <f>CONCATENATE("",E1-2,"/",E1-1,"/",E1," Budget Authority Amount:")</f>
        <v>2022/2023/2024 Budget Authority Amount:</v>
      </c>
      <c r="C54" s="167">
        <f>inputOth!B36</f>
        <v>0</v>
      </c>
      <c r="D54" s="167">
        <f>inputPrYr!D18</f>
        <v>0</v>
      </c>
      <c r="E54" s="106">
        <f>E52</f>
        <v>0</v>
      </c>
      <c r="F54" s="151"/>
      <c r="G54" s="645" t="str">
        <f>IF(J52="Yes", "Follow procedure prescribed by KSA 79-2988 to exceed the Revenue Neutral Rate.", " ")</f>
        <v xml:space="preserve"> </v>
      </c>
      <c r="H54" s="645"/>
      <c r="I54" s="645"/>
      <c r="J54" s="645"/>
    </row>
    <row r="55" spans="2:10" x14ac:dyDescent="0.2">
      <c r="B55" s="125"/>
      <c r="C55" s="647" t="s">
        <v>281</v>
      </c>
      <c r="D55" s="648"/>
      <c r="E55" s="42"/>
      <c r="F55" s="238" t="str">
        <f>IF(E52/0.95-E52&lt;E55,"Exceeds 5%","")</f>
        <v/>
      </c>
      <c r="G55" s="646"/>
      <c r="H55" s="646"/>
      <c r="I55" s="646"/>
      <c r="J55" s="646"/>
    </row>
    <row r="56" spans="2:10" x14ac:dyDescent="0.2">
      <c r="B56" s="263" t="str">
        <f>CONCATENATE(C76,"     ",D76)</f>
        <v xml:space="preserve">     </v>
      </c>
      <c r="C56" s="649" t="s">
        <v>282</v>
      </c>
      <c r="D56" s="650"/>
      <c r="E56" s="106">
        <f>E52+E55</f>
        <v>0</v>
      </c>
      <c r="G56" s="646"/>
      <c r="H56" s="646"/>
      <c r="I56" s="646"/>
      <c r="J56" s="646"/>
    </row>
    <row r="57" spans="2:10" x14ac:dyDescent="0.2">
      <c r="B57" s="263" t="str">
        <f>CONCATENATE(C77,"     ",D77)</f>
        <v xml:space="preserve">     </v>
      </c>
      <c r="C57" s="152"/>
      <c r="D57" s="90" t="s">
        <v>94</v>
      </c>
      <c r="E57" s="163">
        <f>IF(E56-E30&gt;0,E56-E30,0)</f>
        <v>0</v>
      </c>
    </row>
    <row r="58" spans="2:10" x14ac:dyDescent="0.2">
      <c r="B58" s="90"/>
      <c r="C58" s="262" t="s">
        <v>283</v>
      </c>
      <c r="D58" s="291">
        <f>inputOth!$E$28</f>
        <v>5.4000000000000003E-3</v>
      </c>
      <c r="E58" s="106">
        <f>ROUND(IF(D58&gt;0,(E57*D58),0),0)</f>
        <v>0</v>
      </c>
    </row>
    <row r="59" spans="2:10" x14ac:dyDescent="0.2">
      <c r="B59" s="26"/>
      <c r="C59" s="631" t="str">
        <f>CONCATENATE("Amount of  ",$E$1-1," Ad Valorem Tax")</f>
        <v>Amount of  2023 Ad Valorem Tax</v>
      </c>
      <c r="D59" s="651"/>
      <c r="E59" s="163">
        <f>E57+E58</f>
        <v>0</v>
      </c>
    </row>
    <row r="60" spans="2:10" x14ac:dyDescent="0.2">
      <c r="B60" s="26"/>
      <c r="C60" s="125"/>
      <c r="D60" s="26"/>
      <c r="E60" s="26"/>
    </row>
    <row r="61" spans="2:10" x14ac:dyDescent="0.2">
      <c r="B61" s="417" t="s">
        <v>341</v>
      </c>
      <c r="C61" s="396"/>
      <c r="D61" s="341"/>
      <c r="E61" s="391"/>
    </row>
    <row r="62" spans="2:10" x14ac:dyDescent="0.2">
      <c r="B62" s="398"/>
      <c r="C62" s="26"/>
      <c r="D62" s="26"/>
      <c r="E62" s="306"/>
    </row>
    <row r="63" spans="2:10" x14ac:dyDescent="0.2">
      <c r="B63" s="399"/>
      <c r="C63" s="44"/>
      <c r="D63" s="44"/>
      <c r="E63" s="47"/>
    </row>
    <row r="64" spans="2:10" x14ac:dyDescent="0.2">
      <c r="B64" s="90"/>
      <c r="C64" s="26"/>
      <c r="D64" s="26"/>
      <c r="E64" s="26"/>
    </row>
    <row r="65" spans="2:5" x14ac:dyDescent="0.2">
      <c r="B65" s="125" t="s">
        <v>133</v>
      </c>
      <c r="C65" s="362"/>
      <c r="D65" s="26"/>
      <c r="E65" s="26"/>
    </row>
    <row r="72" spans="2:5" hidden="1" x14ac:dyDescent="0.2"/>
    <row r="73" spans="2:5" hidden="1" x14ac:dyDescent="0.2"/>
    <row r="76" spans="2:5" x14ac:dyDescent="0.2">
      <c r="C76" s="56" t="str">
        <f>IF(C52&gt;C54,"SeeTab A","")</f>
        <v/>
      </c>
      <c r="D76" s="56" t="str">
        <f>IF(D52&gt;D54,"See Tab C","")</f>
        <v/>
      </c>
    </row>
    <row r="77" spans="2:5" x14ac:dyDescent="0.2">
      <c r="C77" s="56" t="str">
        <f>IF(C53&lt;0,"See Tab B","")</f>
        <v/>
      </c>
      <c r="D77" s="56" t="str">
        <f>IF(D53&lt;0,"See Tab D","")</f>
        <v/>
      </c>
    </row>
  </sheetData>
  <sheetProtection sheet="1" objects="1" scenarios="1"/>
  <mergeCells count="9">
    <mergeCell ref="C55:D55"/>
    <mergeCell ref="C56:D56"/>
    <mergeCell ref="C59:D59"/>
    <mergeCell ref="G27:J27"/>
    <mergeCell ref="G34:J34"/>
    <mergeCell ref="G44:J45"/>
    <mergeCell ref="G52:I53"/>
    <mergeCell ref="J52:J53"/>
    <mergeCell ref="G54:J56"/>
  </mergeCells>
  <phoneticPr fontId="7" type="noConversion"/>
  <conditionalFormatting sqref="E50">
    <cfRule type="cellIs" dxfId="391" priority="7" stopIfTrue="1" operator="greaterThan">
      <formula>$E$52*0.1</formula>
    </cfRule>
  </conditionalFormatting>
  <conditionalFormatting sqref="E55">
    <cfRule type="cellIs" dxfId="390" priority="8" stopIfTrue="1" operator="greaterThan">
      <formula>$E$52/0.95-$E$52</formula>
    </cfRule>
  </conditionalFormatting>
  <conditionalFormatting sqref="C27">
    <cfRule type="cellIs" dxfId="389" priority="12" stopIfTrue="1" operator="greaterThan">
      <formula>$C$29*0.1</formula>
    </cfRule>
  </conditionalFormatting>
  <conditionalFormatting sqref="D27">
    <cfRule type="cellIs" dxfId="388" priority="13" stopIfTrue="1" operator="greaterThan">
      <formula>$D$29*0.1</formula>
    </cfRule>
  </conditionalFormatting>
  <conditionalFormatting sqref="E27">
    <cfRule type="cellIs" dxfId="387" priority="14" stopIfTrue="1" operator="greaterThan">
      <formula>$E$29*0.1+E59</formula>
    </cfRule>
  </conditionalFormatting>
  <conditionalFormatting sqref="C50">
    <cfRule type="cellIs" dxfId="386" priority="15" stopIfTrue="1" operator="greaterThan">
      <formula>$C$52*0.1</formula>
    </cfRule>
  </conditionalFormatting>
  <conditionalFormatting sqref="D50">
    <cfRule type="cellIs" dxfId="385" priority="16" stopIfTrue="1" operator="greaterThan">
      <formula>$D$52*0.1</formula>
    </cfRule>
  </conditionalFormatting>
  <conditionalFormatting sqref="J52">
    <cfRule type="containsText" dxfId="384" priority="5" operator="containsText" text="Yes">
      <formula>NOT(ISERROR(SEARCH("Yes",J52)))</formula>
    </cfRule>
  </conditionalFormatting>
  <conditionalFormatting sqref="C52">
    <cfRule type="cellIs" dxfId="383" priority="3" stopIfTrue="1" operator="greaterThan">
      <formula>$C$54</formula>
    </cfRule>
  </conditionalFormatting>
  <conditionalFormatting sqref="D52">
    <cfRule type="cellIs" dxfId="382" priority="4" stopIfTrue="1" operator="greaterThan">
      <formula>$C$54</formula>
    </cfRule>
  </conditionalFormatting>
  <conditionalFormatting sqref="C53">
    <cfRule type="cellIs" dxfId="381" priority="1" stopIfTrue="1" operator="lessThan">
      <formula>0</formula>
    </cfRule>
  </conditionalFormatting>
  <conditionalFormatting sqref="D53">
    <cfRule type="cellIs" dxfId="380" priority="2" stopIfTrue="1" operator="lessThan">
      <formula>0</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F0"/>
  </sheetPr>
  <dimension ref="B1:J77"/>
  <sheetViews>
    <sheetView topLeftCell="A31" zoomScaleNormal="100" workbookViewId="0">
      <selection activeCell="B47" sqref="B47"/>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172</v>
      </c>
      <c r="C3" s="26"/>
      <c r="D3" s="26"/>
      <c r="E3" s="134"/>
    </row>
    <row r="4" spans="2:5" x14ac:dyDescent="0.2">
      <c r="B4" s="135" t="s">
        <v>80</v>
      </c>
      <c r="C4" s="333" t="s">
        <v>306</v>
      </c>
      <c r="D4" s="334" t="s">
        <v>307</v>
      </c>
      <c r="E4" s="80" t="s">
        <v>308</v>
      </c>
    </row>
    <row r="5" spans="2:5" x14ac:dyDescent="0.2">
      <c r="B5" s="247" t="str">
        <f>inputPrYr!B19</f>
        <v>Road &amp; Bridge</v>
      </c>
      <c r="C5" s="231" t="str">
        <f>CONCATENATE("Actual for ",E1-2,"")</f>
        <v>Actual for 2022</v>
      </c>
      <c r="D5" s="231" t="str">
        <f>CONCATENATE("Estimate for ",E1-1,"")</f>
        <v>Estimate for 2023</v>
      </c>
      <c r="E5" s="136" t="str">
        <f>CONCATENATE("Year for ",E1,"")</f>
        <v>Year for 2024</v>
      </c>
    </row>
    <row r="6" spans="2:5" x14ac:dyDescent="0.2">
      <c r="B6" s="137" t="s">
        <v>182</v>
      </c>
      <c r="C6" s="229">
        <v>1761297</v>
      </c>
      <c r="D6" s="232">
        <f>C55</f>
        <v>1249337</v>
      </c>
      <c r="E6" s="106">
        <f>D55</f>
        <v>813567</v>
      </c>
    </row>
    <row r="7" spans="2:5" x14ac:dyDescent="0.2">
      <c r="B7" s="128" t="s">
        <v>184</v>
      </c>
      <c r="C7" s="139"/>
      <c r="D7" s="139"/>
      <c r="E7" s="50"/>
    </row>
    <row r="8" spans="2:5" x14ac:dyDescent="0.2">
      <c r="B8" s="137" t="s">
        <v>81</v>
      </c>
      <c r="C8" s="229">
        <v>2127784</v>
      </c>
      <c r="D8" s="232">
        <f>IF(inputPrYr!H19&gt;0,inputPrYr!H19,inputPrYr!E19)</f>
        <v>2249882</v>
      </c>
      <c r="E8" s="86" t="s">
        <v>66</v>
      </c>
    </row>
    <row r="9" spans="2:5" x14ac:dyDescent="0.2">
      <c r="B9" s="137" t="s">
        <v>82</v>
      </c>
      <c r="C9" s="229">
        <v>22906</v>
      </c>
      <c r="D9" s="229">
        <v>28638</v>
      </c>
      <c r="E9" s="140">
        <v>20000</v>
      </c>
    </row>
    <row r="10" spans="2:5" x14ac:dyDescent="0.2">
      <c r="B10" s="137" t="s">
        <v>83</v>
      </c>
      <c r="C10" s="229">
        <v>128883</v>
      </c>
      <c r="D10" s="229">
        <v>124780</v>
      </c>
      <c r="E10" s="50">
        <f>Mvalloc!D9</f>
        <v>127965</v>
      </c>
    </row>
    <row r="11" spans="2:5" x14ac:dyDescent="0.2">
      <c r="B11" s="137" t="s">
        <v>84</v>
      </c>
      <c r="C11" s="229">
        <v>2904</v>
      </c>
      <c r="D11" s="229">
        <v>2898</v>
      </c>
      <c r="E11" s="50">
        <f>Mvalloc!E9</f>
        <v>2887</v>
      </c>
    </row>
    <row r="12" spans="2:5" x14ac:dyDescent="0.2">
      <c r="B12" s="139" t="s">
        <v>177</v>
      </c>
      <c r="C12" s="229"/>
      <c r="D12" s="229">
        <v>22458</v>
      </c>
      <c r="E12" s="50">
        <f>Mvalloc!F9</f>
        <v>24038</v>
      </c>
    </row>
    <row r="13" spans="2:5" x14ac:dyDescent="0.2">
      <c r="B13" s="137" t="s">
        <v>335</v>
      </c>
      <c r="C13" s="229">
        <v>7510</v>
      </c>
      <c r="D13" s="229">
        <v>7305</v>
      </c>
      <c r="E13" s="50">
        <f>Mvalloc!G9</f>
        <v>7432</v>
      </c>
    </row>
    <row r="14" spans="2:5" x14ac:dyDescent="0.2">
      <c r="B14" s="137" t="s">
        <v>336</v>
      </c>
      <c r="C14" s="229"/>
      <c r="D14" s="229">
        <v>1487</v>
      </c>
      <c r="E14" s="50">
        <f>Mvalloc!H9</f>
        <v>1506</v>
      </c>
    </row>
    <row r="15" spans="2:5" x14ac:dyDescent="0.2">
      <c r="B15" s="172" t="s">
        <v>6</v>
      </c>
      <c r="C15" s="229">
        <v>393419</v>
      </c>
      <c r="D15" s="229">
        <v>367909</v>
      </c>
      <c r="E15" s="59">
        <v>365266</v>
      </c>
    </row>
    <row r="16" spans="2:5" x14ac:dyDescent="0.2">
      <c r="B16" s="172" t="s">
        <v>7</v>
      </c>
      <c r="C16" s="229"/>
      <c r="D16" s="229"/>
      <c r="E16" s="59"/>
    </row>
    <row r="17" spans="2:5" x14ac:dyDescent="0.2">
      <c r="B17" s="172" t="s">
        <v>978</v>
      </c>
      <c r="C17" s="229">
        <v>76315</v>
      </c>
      <c r="D17" s="229"/>
      <c r="E17" s="59"/>
    </row>
    <row r="18" spans="2:5" x14ac:dyDescent="0.2">
      <c r="B18" s="173" t="s">
        <v>991</v>
      </c>
      <c r="C18" s="229"/>
      <c r="D18" s="229"/>
      <c r="E18" s="59"/>
    </row>
    <row r="19" spans="2:5" x14ac:dyDescent="0.2">
      <c r="B19" s="142" t="s">
        <v>992</v>
      </c>
      <c r="C19" s="229"/>
      <c r="D19" s="229"/>
      <c r="E19" s="140">
        <v>150000</v>
      </c>
    </row>
    <row r="20" spans="2:5" x14ac:dyDescent="0.2">
      <c r="B20" s="142"/>
      <c r="C20" s="229"/>
      <c r="D20" s="229"/>
      <c r="E20" s="140"/>
    </row>
    <row r="21" spans="2:5" x14ac:dyDescent="0.2">
      <c r="B21" s="141"/>
      <c r="C21" s="229"/>
      <c r="D21" s="229"/>
      <c r="E21" s="140"/>
    </row>
    <row r="22" spans="2:5" x14ac:dyDescent="0.2">
      <c r="B22" s="142" t="s">
        <v>87</v>
      </c>
      <c r="C22" s="229"/>
      <c r="D22" s="229"/>
      <c r="E22" s="140"/>
    </row>
    <row r="23" spans="2:5" x14ac:dyDescent="0.2">
      <c r="B23" s="143" t="s">
        <v>40</v>
      </c>
      <c r="C23" s="229">
        <v>-53303</v>
      </c>
      <c r="D23" s="229">
        <v>-52005</v>
      </c>
      <c r="E23" s="106">
        <f>'NR Rebate'!E8*-1</f>
        <v>-61572</v>
      </c>
    </row>
    <row r="24" spans="2:5" x14ac:dyDescent="0.2">
      <c r="B24" s="143" t="s">
        <v>38</v>
      </c>
      <c r="C24" s="229">
        <v>1606</v>
      </c>
      <c r="D24" s="229"/>
      <c r="E24" s="140"/>
    </row>
    <row r="25" spans="2:5" x14ac:dyDescent="0.2">
      <c r="B25" s="143" t="s">
        <v>278</v>
      </c>
      <c r="C25" s="230" t="str">
        <f>IF(C26*0.1&lt;C24,"Exceed 10% Rule","")</f>
        <v/>
      </c>
      <c r="D25" s="230" t="str">
        <f>IF(D26*0.1&lt;D24,"Exceed 10% Rule","")</f>
        <v/>
      </c>
      <c r="E25" s="170" t="str">
        <f>IF(E26*0.1+E61&lt;E24,"Exceed 10% Rule","")</f>
        <v/>
      </c>
    </row>
    <row r="26" spans="2:5" x14ac:dyDescent="0.2">
      <c r="B26" s="145" t="s">
        <v>88</v>
      </c>
      <c r="C26" s="457">
        <f>SUM(C8:C24)</f>
        <v>2708024</v>
      </c>
      <c r="D26" s="457">
        <f>SUM(D8:D24)</f>
        <v>2753352</v>
      </c>
      <c r="E26" s="457">
        <f>SUM(E9:E24)</f>
        <v>637522</v>
      </c>
    </row>
    <row r="27" spans="2:5" x14ac:dyDescent="0.2">
      <c r="B27" s="145" t="s">
        <v>89</v>
      </c>
      <c r="C27" s="457">
        <f>C6+C26</f>
        <v>4469321</v>
      </c>
      <c r="D27" s="457">
        <f>D6+D26</f>
        <v>4002689</v>
      </c>
      <c r="E27" s="457">
        <f>E6+E26</f>
        <v>1451089</v>
      </c>
    </row>
    <row r="28" spans="2:5" x14ac:dyDescent="0.2">
      <c r="B28" s="26"/>
      <c r="C28" s="57"/>
      <c r="D28" s="57"/>
      <c r="E28" s="57"/>
    </row>
    <row r="29" spans="2:5" x14ac:dyDescent="0.2">
      <c r="B29" s="125" t="s">
        <v>133</v>
      </c>
      <c r="C29" s="362">
        <v>7</v>
      </c>
      <c r="D29" s="31"/>
      <c r="E29" s="31"/>
    </row>
    <row r="30" spans="2:5" x14ac:dyDescent="0.2">
      <c r="B30" s="31"/>
      <c r="C30" s="31"/>
      <c r="D30" s="31"/>
      <c r="E30" s="31"/>
    </row>
    <row r="31" spans="2:5" x14ac:dyDescent="0.2">
      <c r="B31" s="57" t="str">
        <f>inputPrYr!C3</f>
        <v>Doniphan County</v>
      </c>
      <c r="C31" s="57"/>
      <c r="D31" s="57"/>
      <c r="E31" s="125">
        <f>inputPrYr!C5</f>
        <v>2024</v>
      </c>
    </row>
    <row r="32" spans="2:5" x14ac:dyDescent="0.2">
      <c r="B32" s="26"/>
      <c r="C32" s="57"/>
      <c r="D32" s="57"/>
      <c r="E32" s="90"/>
    </row>
    <row r="33" spans="2:5" x14ac:dyDescent="0.2">
      <c r="B33" s="146" t="s">
        <v>170</v>
      </c>
      <c r="C33" s="147"/>
      <c r="D33" s="147"/>
      <c r="E33" s="147"/>
    </row>
    <row r="34" spans="2:5" x14ac:dyDescent="0.2">
      <c r="B34" s="26" t="s">
        <v>80</v>
      </c>
      <c r="C34" s="333" t="s">
        <v>306</v>
      </c>
      <c r="D34" s="334" t="s">
        <v>307</v>
      </c>
      <c r="E34" s="80" t="s">
        <v>308</v>
      </c>
    </row>
    <row r="35" spans="2:5" x14ac:dyDescent="0.2">
      <c r="B35" s="65" t="str">
        <f>B5</f>
        <v>Road &amp; Bridge</v>
      </c>
      <c r="C35" s="231" t="str">
        <f>CONCATENATE("Actual for ",E31-2,"")</f>
        <v>Actual for 2022</v>
      </c>
      <c r="D35" s="231" t="str">
        <f>CONCATENATE("Estimate for ",E31-1,"")</f>
        <v>Estimate for 2023</v>
      </c>
      <c r="E35" s="136" t="str">
        <f>CONCATENATE("Year for ",E31,"")</f>
        <v>Year for 2024</v>
      </c>
    </row>
    <row r="36" spans="2:5" x14ac:dyDescent="0.2">
      <c r="B36" s="145" t="s">
        <v>89</v>
      </c>
      <c r="C36" s="232">
        <f>C27</f>
        <v>4469321</v>
      </c>
      <c r="D36" s="232">
        <f>D27</f>
        <v>4002689</v>
      </c>
      <c r="E36" s="106">
        <f>E27</f>
        <v>1451089</v>
      </c>
    </row>
    <row r="37" spans="2:5" x14ac:dyDescent="0.2">
      <c r="B37" s="137" t="s">
        <v>8</v>
      </c>
      <c r="C37" s="139"/>
      <c r="D37" s="139"/>
      <c r="E37" s="50"/>
    </row>
    <row r="38" spans="2:5" x14ac:dyDescent="0.2">
      <c r="B38" s="139" t="s">
        <v>993</v>
      </c>
      <c r="C38" s="232">
        <v>557937</v>
      </c>
      <c r="D38" s="232">
        <v>745000</v>
      </c>
      <c r="E38" s="106">
        <v>745000</v>
      </c>
    </row>
    <row r="39" spans="2:5" x14ac:dyDescent="0.2">
      <c r="B39" s="139" t="s">
        <v>994</v>
      </c>
      <c r="C39" s="232">
        <v>176988</v>
      </c>
      <c r="D39" s="232">
        <v>140000</v>
      </c>
      <c r="E39" s="106">
        <v>140000</v>
      </c>
    </row>
    <row r="40" spans="2:5" x14ac:dyDescent="0.2">
      <c r="B40" s="139" t="s">
        <v>995</v>
      </c>
      <c r="C40" s="232">
        <v>57501</v>
      </c>
      <c r="D40" s="232">
        <v>55000</v>
      </c>
      <c r="E40" s="106">
        <v>55000</v>
      </c>
    </row>
    <row r="41" spans="2:5" x14ac:dyDescent="0.2">
      <c r="B41" s="139" t="s">
        <v>996</v>
      </c>
      <c r="C41" s="232">
        <v>106975</v>
      </c>
      <c r="D41" s="232">
        <v>195000</v>
      </c>
      <c r="E41" s="106">
        <v>195000</v>
      </c>
    </row>
    <row r="42" spans="2:5" x14ac:dyDescent="0.2">
      <c r="B42" s="139" t="s">
        <v>997</v>
      </c>
      <c r="C42" s="232">
        <v>214768</v>
      </c>
      <c r="D42" s="232">
        <v>150000</v>
      </c>
      <c r="E42" s="106">
        <v>150000</v>
      </c>
    </row>
    <row r="43" spans="2:5" x14ac:dyDescent="0.2">
      <c r="B43" s="139" t="s">
        <v>998</v>
      </c>
      <c r="C43" s="232">
        <v>204422</v>
      </c>
      <c r="D43" s="232">
        <v>150000</v>
      </c>
      <c r="E43" s="106">
        <v>150000</v>
      </c>
    </row>
    <row r="44" spans="2:5" x14ac:dyDescent="0.2">
      <c r="B44" s="139" t="s">
        <v>999</v>
      </c>
      <c r="C44" s="232">
        <v>422166</v>
      </c>
      <c r="D44" s="232">
        <v>425000</v>
      </c>
      <c r="E44" s="106">
        <v>425000</v>
      </c>
    </row>
    <row r="45" spans="2:5" x14ac:dyDescent="0.2">
      <c r="B45" s="175" t="s">
        <v>1000</v>
      </c>
      <c r="C45" s="229">
        <v>779377</v>
      </c>
      <c r="D45" s="229">
        <v>625000</v>
      </c>
      <c r="E45" s="59">
        <v>625000</v>
      </c>
    </row>
    <row r="46" spans="2:5" x14ac:dyDescent="0.2">
      <c r="B46" s="175" t="s">
        <v>1001</v>
      </c>
      <c r="C46" s="229">
        <v>549850</v>
      </c>
      <c r="D46" s="229">
        <v>353122</v>
      </c>
      <c r="E46" s="59">
        <v>353122</v>
      </c>
    </row>
    <row r="47" spans="2:5" x14ac:dyDescent="0.2">
      <c r="B47" s="175" t="s">
        <v>1067</v>
      </c>
      <c r="C47" s="229"/>
      <c r="D47" s="229"/>
      <c r="E47" s="59">
        <v>500000</v>
      </c>
    </row>
    <row r="48" spans="2:5" x14ac:dyDescent="0.2">
      <c r="B48" s="175" t="s">
        <v>1002</v>
      </c>
      <c r="C48" s="229"/>
      <c r="D48" s="229">
        <v>201000</v>
      </c>
      <c r="E48" s="59">
        <v>201000</v>
      </c>
    </row>
    <row r="49" spans="2:10" x14ac:dyDescent="0.2">
      <c r="B49" s="175" t="s">
        <v>1003</v>
      </c>
      <c r="C49" s="229">
        <v>150000</v>
      </c>
      <c r="D49" s="229">
        <v>150000</v>
      </c>
      <c r="E49" s="59">
        <v>150000</v>
      </c>
    </row>
    <row r="50" spans="2:10" x14ac:dyDescent="0.2">
      <c r="B50" s="175"/>
      <c r="C50" s="229"/>
      <c r="D50" s="229"/>
      <c r="E50" s="59"/>
      <c r="G50" s="652" t="str">
        <f>CONCATENATE("Desired Carryover Into ",E1+1,"")</f>
        <v>Desired Carryover Into 2025</v>
      </c>
      <c r="H50" s="653"/>
      <c r="I50" s="653"/>
      <c r="J50" s="654"/>
    </row>
    <row r="51" spans="2:10" x14ac:dyDescent="0.2">
      <c r="B51" s="143" t="str">
        <f>CONCATENATE("Cash Forward (",E1," column)")</f>
        <v>Cash Forward (2024 column)</v>
      </c>
      <c r="C51" s="229"/>
      <c r="D51" s="229"/>
      <c r="E51" s="140"/>
      <c r="G51" s="510">
        <f>'Budget Hearing Notice'!E61</f>
        <v>36.946999999999996</v>
      </c>
      <c r="H51" s="310" t="str">
        <f>CONCATENATE(2023-1," Total Mill Rate")</f>
        <v>2022 Total Mill Rate</v>
      </c>
      <c r="I51" s="505"/>
      <c r="J51" s="506"/>
    </row>
    <row r="52" spans="2:10" x14ac:dyDescent="0.2">
      <c r="B52" s="143" t="s">
        <v>38</v>
      </c>
      <c r="C52" s="229"/>
      <c r="D52" s="229"/>
      <c r="E52" s="140"/>
      <c r="G52" s="321"/>
      <c r="H52" s="293"/>
      <c r="I52" s="293"/>
      <c r="J52" s="323"/>
    </row>
    <row r="53" spans="2:10" x14ac:dyDescent="0.2">
      <c r="B53" s="143" t="s">
        <v>277</v>
      </c>
      <c r="C53" s="230" t="str">
        <f>IF(C54*0.1&lt;C52,"Exceed 10% Rule","")</f>
        <v/>
      </c>
      <c r="D53" s="230" t="str">
        <f>IF(D54*0.1&lt;D52,"Exceed 10% Rule","")</f>
        <v/>
      </c>
      <c r="E53" s="170" t="str">
        <f>IF(E54*0.1&lt;E52,"Exceed 10% Rule","")</f>
        <v/>
      </c>
      <c r="G53" s="639" t="s">
        <v>545</v>
      </c>
      <c r="H53" s="640"/>
      <c r="I53" s="640"/>
      <c r="J53" s="643" t="e">
        <f>IF(#REF!&gt;#REF!, "Yes", "No")</f>
        <v>#REF!</v>
      </c>
    </row>
    <row r="54" spans="2:10" x14ac:dyDescent="0.2">
      <c r="B54" s="145" t="s">
        <v>93</v>
      </c>
      <c r="C54" s="457">
        <f>SUM(C38:C52)</f>
        <v>3219984</v>
      </c>
      <c r="D54" s="457">
        <f>SUM(D38:D49)</f>
        <v>3189122</v>
      </c>
      <c r="E54" s="457">
        <f>SUM(E38:E49)</f>
        <v>3689122</v>
      </c>
      <c r="G54" s="641"/>
      <c r="H54" s="642"/>
      <c r="I54" s="642"/>
      <c r="J54" s="644"/>
    </row>
    <row r="55" spans="2:10" x14ac:dyDescent="0.2">
      <c r="B55" s="60" t="s">
        <v>183</v>
      </c>
      <c r="C55" s="106">
        <f>C27-C54</f>
        <v>1249337</v>
      </c>
      <c r="D55" s="106">
        <f>D27-D54</f>
        <v>813567</v>
      </c>
      <c r="E55" s="86" t="s">
        <v>66</v>
      </c>
      <c r="G55" s="645" t="e">
        <f>IF(J53="Yes", "Follow procedure prescribed by KSA 79-2988 to exceed the Revenue Neutral Rate.", " ")</f>
        <v>#REF!</v>
      </c>
      <c r="H55" s="645"/>
      <c r="I55" s="645"/>
      <c r="J55" s="645"/>
    </row>
    <row r="56" spans="2:10" x14ac:dyDescent="0.2">
      <c r="B56" s="135" t="str">
        <f>CONCATENATE("",E1-2,"/",E1-1,"/",E1," Budget Authority Amount:")</f>
        <v>2022/2023/2024 Budget Authority Amount:</v>
      </c>
      <c r="C56" s="167">
        <f>inputOth!$B37</f>
        <v>3590993</v>
      </c>
      <c r="D56" s="167">
        <f>inputPrYr!D19</f>
        <v>3539122</v>
      </c>
      <c r="E56" s="106">
        <f>E54</f>
        <v>3689122</v>
      </c>
      <c r="F56" s="151"/>
      <c r="G56" s="646"/>
      <c r="H56" s="646"/>
      <c r="I56" s="646"/>
      <c r="J56" s="646"/>
    </row>
    <row r="57" spans="2:10" x14ac:dyDescent="0.2">
      <c r="B57" s="125"/>
      <c r="C57" s="647" t="s">
        <v>281</v>
      </c>
      <c r="D57" s="648"/>
      <c r="E57" s="42"/>
      <c r="F57" s="238" t="str">
        <f>IF(E54/0.95-E54&lt;E57,"Exceeds 5%","")</f>
        <v/>
      </c>
      <c r="G57" s="646"/>
      <c r="H57" s="646"/>
      <c r="I57" s="646"/>
      <c r="J57" s="646"/>
    </row>
    <row r="58" spans="2:10" x14ac:dyDescent="0.2">
      <c r="B58" s="263" t="str">
        <f>CONCATENATE(C76,"     ",D76)</f>
        <v xml:space="preserve">     </v>
      </c>
      <c r="C58" s="649" t="s">
        <v>282</v>
      </c>
      <c r="D58" s="650"/>
      <c r="E58" s="106">
        <f>E54+E57</f>
        <v>3689122</v>
      </c>
    </row>
    <row r="59" spans="2:10" x14ac:dyDescent="0.2">
      <c r="B59" s="263" t="str">
        <f>CONCATENATE(C77,"     ",D77)</f>
        <v xml:space="preserve">     </v>
      </c>
      <c r="C59" s="152"/>
      <c r="D59" s="90" t="s">
        <v>94</v>
      </c>
      <c r="E59" s="106">
        <f>IF(E58-E27&gt;0,E58-E27,0)</f>
        <v>2238033</v>
      </c>
    </row>
    <row r="60" spans="2:10" x14ac:dyDescent="0.2">
      <c r="B60" s="125"/>
      <c r="C60" s="262" t="s">
        <v>283</v>
      </c>
      <c r="D60" s="291">
        <f>inputOth!$E$28</f>
        <v>5.4000000000000003E-3</v>
      </c>
      <c r="E60" s="106">
        <f>IF(D60&gt;0,(E59*D60),0)</f>
        <v>12085.378200000001</v>
      </c>
    </row>
    <row r="61" spans="2:10" x14ac:dyDescent="0.2">
      <c r="B61" s="26"/>
      <c r="C61" s="631" t="str">
        <f>CONCATENATE("Amount of  ",$E$1-1," Ad Valorem Tax")</f>
        <v>Amount of  2023 Ad Valorem Tax</v>
      </c>
      <c r="D61" s="651"/>
      <c r="E61" s="106">
        <f>E59+E60</f>
        <v>2250118.3782000002</v>
      </c>
    </row>
    <row r="62" spans="2:10" x14ac:dyDescent="0.2">
      <c r="B62" s="26"/>
      <c r="C62" s="125"/>
      <c r="D62" s="26"/>
      <c r="E62" s="26"/>
    </row>
    <row r="63" spans="2:10" x14ac:dyDescent="0.2">
      <c r="B63" s="417" t="s">
        <v>341</v>
      </c>
      <c r="C63" s="396"/>
      <c r="D63" s="400"/>
      <c r="E63" s="401"/>
    </row>
    <row r="64" spans="2:10" x14ac:dyDescent="0.2">
      <c r="B64" s="126"/>
      <c r="C64" s="125"/>
      <c r="D64" s="26"/>
      <c r="E64" s="306"/>
    </row>
    <row r="65" spans="2:5" x14ac:dyDescent="0.2">
      <c r="B65" s="397"/>
      <c r="C65" s="402"/>
      <c r="D65" s="44"/>
      <c r="E65" s="47"/>
    </row>
    <row r="66" spans="2:5" x14ac:dyDescent="0.2">
      <c r="B66" s="26"/>
      <c r="C66" s="26"/>
      <c r="D66" s="26"/>
      <c r="E66" s="26"/>
    </row>
    <row r="67" spans="2:5" x14ac:dyDescent="0.2">
      <c r="B67" s="31"/>
      <c r="C67" s="31" t="str">
        <f>CONCATENATE("Page No. ",C29,"a")</f>
        <v>Page No. 7a</v>
      </c>
      <c r="D67" s="174"/>
      <c r="E67" s="174"/>
    </row>
    <row r="72" spans="2:5" hidden="1" x14ac:dyDescent="0.2"/>
    <row r="73" spans="2:5" hidden="1" x14ac:dyDescent="0.2"/>
    <row r="76" spans="2:5" x14ac:dyDescent="0.2">
      <c r="C76" s="23" t="str">
        <f>IF(C54&gt;C56,"See Tab A","")</f>
        <v/>
      </c>
      <c r="D76" s="23" t="str">
        <f>IF(D54&gt;D56,"See Tab C","")</f>
        <v/>
      </c>
    </row>
    <row r="77" spans="2:5" x14ac:dyDescent="0.2">
      <c r="C77" s="23" t="str">
        <f>IF(C55&lt;0,"See Tab B","")</f>
        <v/>
      </c>
      <c r="D77" s="23" t="str">
        <f>IF(D55&lt;0,"See Tab D","")</f>
        <v/>
      </c>
    </row>
  </sheetData>
  <mergeCells count="7">
    <mergeCell ref="C57:D57"/>
    <mergeCell ref="C58:D58"/>
    <mergeCell ref="C61:D61"/>
    <mergeCell ref="G50:J50"/>
    <mergeCell ref="G53:I54"/>
    <mergeCell ref="J53:J54"/>
    <mergeCell ref="G55:J57"/>
  </mergeCells>
  <phoneticPr fontId="7" type="noConversion"/>
  <conditionalFormatting sqref="E52">
    <cfRule type="cellIs" dxfId="379" priority="7" stopIfTrue="1" operator="greaterThan">
      <formula>$E$54*0.1</formula>
    </cfRule>
  </conditionalFormatting>
  <conditionalFormatting sqref="E57">
    <cfRule type="cellIs" dxfId="378" priority="8" stopIfTrue="1" operator="greaterThan">
      <formula>$E$54/0.95-$E$54</formula>
    </cfRule>
  </conditionalFormatting>
  <conditionalFormatting sqref="C24">
    <cfRule type="cellIs" dxfId="377" priority="9" stopIfTrue="1" operator="greaterThan">
      <formula>$C$26*0.1</formula>
    </cfRule>
  </conditionalFormatting>
  <conditionalFormatting sqref="D24">
    <cfRule type="cellIs" dxfId="376" priority="10" stopIfTrue="1" operator="greaterThan">
      <formula>$D$26*0.1</formula>
    </cfRule>
  </conditionalFormatting>
  <conditionalFormatting sqref="E24">
    <cfRule type="cellIs" dxfId="375" priority="11" stopIfTrue="1" operator="greaterThan">
      <formula>$E$26*0.1+E61</formula>
    </cfRule>
  </conditionalFormatting>
  <conditionalFormatting sqref="C52">
    <cfRule type="cellIs" dxfId="374" priority="12" stopIfTrue="1" operator="greaterThan">
      <formula>$C$54*0.1</formula>
    </cfRule>
  </conditionalFormatting>
  <conditionalFormatting sqref="D52">
    <cfRule type="cellIs" dxfId="373" priority="13" stopIfTrue="1" operator="greaterThan">
      <formula>$D$54*0.1</formula>
    </cfRule>
  </conditionalFormatting>
  <conditionalFormatting sqref="J53">
    <cfRule type="containsText" dxfId="372" priority="5" operator="containsText" text="Yes">
      <formula>NOT(ISERROR(SEARCH("Yes",J53)))</formula>
    </cfRule>
  </conditionalFormatting>
  <conditionalFormatting sqref="C54">
    <cfRule type="cellIs" dxfId="371" priority="4" stopIfTrue="1" operator="greaterThan">
      <formula>$C$56</formula>
    </cfRule>
  </conditionalFormatting>
  <conditionalFormatting sqref="D54">
    <cfRule type="cellIs" dxfId="370" priority="3" stopIfTrue="1" operator="greaterThan">
      <formula>$D$56</formula>
    </cfRule>
  </conditionalFormatting>
  <conditionalFormatting sqref="C55">
    <cfRule type="cellIs" dxfId="369" priority="1" stopIfTrue="1" operator="lessThan">
      <formula>0</formula>
    </cfRule>
  </conditionalFormatting>
  <conditionalFormatting sqref="D55">
    <cfRule type="cellIs" dxfId="368" priority="2" stopIfTrue="1" operator="lessThan">
      <formula>0</formula>
    </cfRule>
  </conditionalFormatting>
  <pageMargins left="0.75" right="0.75" top="1" bottom="0.5" header="0.5" footer="0.5"/>
  <pageSetup scale="73" fitToHeight="2" orientation="portrait" blackAndWhite="1" r:id="rId1"/>
  <headerFooter alignWithMargins="0">
    <oddHeader>&amp;RState of Kansas
County</oddHeader>
  </headerFooter>
  <rowBreaks count="1" manualBreakCount="1">
    <brk id="30" min="1"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D47"/>
  <sheetViews>
    <sheetView workbookViewId="0">
      <selection activeCell="B15" sqref="B15"/>
    </sheetView>
  </sheetViews>
  <sheetFormatPr defaultRowHeight="15.75" x14ac:dyDescent="0.2"/>
  <cols>
    <col min="1" max="1" width="28.33203125" style="23" customWidth="1"/>
    <col min="2" max="2" width="14.44140625" style="23" customWidth="1"/>
    <col min="3" max="3" width="15.109375" style="23" customWidth="1"/>
    <col min="4" max="4" width="14.77734375" style="23" customWidth="1"/>
    <col min="5" max="16384" width="8.88671875" style="23"/>
  </cols>
  <sheetData>
    <row r="1" spans="1:4" x14ac:dyDescent="0.2">
      <c r="A1" s="57" t="str">
        <f>inputPrYr!C3</f>
        <v>Doniphan County</v>
      </c>
      <c r="B1" s="26"/>
      <c r="C1" s="135"/>
      <c r="D1" s="26">
        <f>inputPrYr!C5</f>
        <v>2024</v>
      </c>
    </row>
    <row r="2" spans="1:4" x14ac:dyDescent="0.2">
      <c r="A2" s="26"/>
      <c r="B2" s="26"/>
      <c r="C2" s="26"/>
      <c r="D2" s="135"/>
    </row>
    <row r="3" spans="1:4" x14ac:dyDescent="0.2">
      <c r="A3" s="64" t="s">
        <v>171</v>
      </c>
      <c r="B3" s="147"/>
      <c r="C3" s="147"/>
      <c r="D3" s="147"/>
    </row>
    <row r="4" spans="1:4" x14ac:dyDescent="0.2">
      <c r="A4" s="135" t="s">
        <v>80</v>
      </c>
      <c r="B4" s="619" t="str">
        <f>CONCATENATE("Prior Year Actual for ",D1-2,"")</f>
        <v>Prior Year Actual for 2022</v>
      </c>
      <c r="C4" s="619" t="str">
        <f>CONCATENATE(" Current Year Estimate for ",D1-1,"")</f>
        <v xml:space="preserve"> Current Year Estimate for 2023</v>
      </c>
      <c r="D4" s="622" t="str">
        <f>CONCATENATE("Proposed Budget Year for ",D1,"")</f>
        <v>Proposed Budget Year for 2024</v>
      </c>
    </row>
    <row r="5" spans="1:4" ht="18.75" customHeight="1" x14ac:dyDescent="0.2">
      <c r="A5" s="245" t="s">
        <v>279</v>
      </c>
      <c r="B5" s="621"/>
      <c r="C5" s="621"/>
      <c r="D5" s="624"/>
    </row>
    <row r="6" spans="1:4" x14ac:dyDescent="0.2">
      <c r="A6" s="103" t="s">
        <v>92</v>
      </c>
      <c r="B6" s="104"/>
      <c r="C6" s="104"/>
      <c r="D6" s="136"/>
    </row>
    <row r="7" spans="1:4" x14ac:dyDescent="0.2">
      <c r="A7" s="154"/>
      <c r="B7" s="50"/>
      <c r="C7" s="50"/>
      <c r="D7" s="50"/>
    </row>
    <row r="8" spans="1:4" x14ac:dyDescent="0.2">
      <c r="A8" s="40" t="s">
        <v>97</v>
      </c>
      <c r="B8" s="140"/>
      <c r="C8" s="140"/>
      <c r="D8" s="140"/>
    </row>
    <row r="9" spans="1:4" x14ac:dyDescent="0.2">
      <c r="A9" s="40" t="s">
        <v>98</v>
      </c>
      <c r="B9" s="140"/>
      <c r="C9" s="140"/>
      <c r="D9" s="140"/>
    </row>
    <row r="10" spans="1:4" x14ac:dyDescent="0.2">
      <c r="A10" s="40" t="s">
        <v>99</v>
      </c>
      <c r="B10" s="140"/>
      <c r="C10" s="140"/>
      <c r="D10" s="140"/>
    </row>
    <row r="11" spans="1:4" x14ac:dyDescent="0.2">
      <c r="A11" s="40" t="s">
        <v>100</v>
      </c>
      <c r="B11" s="140"/>
      <c r="C11" s="140"/>
      <c r="D11" s="140"/>
    </row>
    <row r="12" spans="1:4" x14ac:dyDescent="0.2">
      <c r="A12" s="103" t="s">
        <v>54</v>
      </c>
      <c r="B12" s="50">
        <f>SUM(B8:B11)</f>
        <v>0</v>
      </c>
      <c r="C12" s="50">
        <f>SUM(C8:C11)</f>
        <v>0</v>
      </c>
      <c r="D12" s="50">
        <f>SUM(D8:D11)</f>
        <v>0</v>
      </c>
    </row>
    <row r="13" spans="1:4" x14ac:dyDescent="0.2">
      <c r="A13" s="154"/>
      <c r="B13" s="50"/>
      <c r="C13" s="50"/>
      <c r="D13" s="50"/>
    </row>
    <row r="14" spans="1:4" x14ac:dyDescent="0.2">
      <c r="A14" s="40" t="s">
        <v>97</v>
      </c>
      <c r="B14" s="140"/>
      <c r="C14" s="140"/>
      <c r="D14" s="140"/>
    </row>
    <row r="15" spans="1:4" x14ac:dyDescent="0.2">
      <c r="A15" s="40" t="s">
        <v>98</v>
      </c>
      <c r="B15" s="140"/>
      <c r="C15" s="140"/>
      <c r="D15" s="140"/>
    </row>
    <row r="16" spans="1:4" x14ac:dyDescent="0.2">
      <c r="A16" s="40" t="s">
        <v>99</v>
      </c>
      <c r="B16" s="140"/>
      <c r="C16" s="140"/>
      <c r="D16" s="140"/>
    </row>
    <row r="17" spans="1:4" x14ac:dyDescent="0.2">
      <c r="A17" s="40" t="s">
        <v>100</v>
      </c>
      <c r="B17" s="140"/>
      <c r="C17" s="140"/>
      <c r="D17" s="140"/>
    </row>
    <row r="18" spans="1:4" x14ac:dyDescent="0.2">
      <c r="A18" s="103" t="s">
        <v>54</v>
      </c>
      <c r="B18" s="50">
        <f>SUM(B14:B17)</f>
        <v>0</v>
      </c>
      <c r="C18" s="50">
        <f>SUM(C14:C17)</f>
        <v>0</v>
      </c>
      <c r="D18" s="50">
        <f>SUM(D14:D17)</f>
        <v>0</v>
      </c>
    </row>
    <row r="19" spans="1:4" x14ac:dyDescent="0.2">
      <c r="A19" s="154"/>
      <c r="B19" s="50"/>
      <c r="C19" s="50"/>
      <c r="D19" s="50"/>
    </row>
    <row r="20" spans="1:4" x14ac:dyDescent="0.2">
      <c r="A20" s="40" t="s">
        <v>97</v>
      </c>
      <c r="B20" s="140"/>
      <c r="C20" s="140"/>
      <c r="D20" s="140"/>
    </row>
    <row r="21" spans="1:4" x14ac:dyDescent="0.2">
      <c r="A21" s="40" t="s">
        <v>98</v>
      </c>
      <c r="B21" s="140"/>
      <c r="C21" s="140"/>
      <c r="D21" s="140"/>
    </row>
    <row r="22" spans="1:4" x14ac:dyDescent="0.2">
      <c r="A22" s="40" t="s">
        <v>99</v>
      </c>
      <c r="B22" s="140"/>
      <c r="C22" s="140"/>
      <c r="D22" s="140"/>
    </row>
    <row r="23" spans="1:4" x14ac:dyDescent="0.2">
      <c r="A23" s="40" t="s">
        <v>100</v>
      </c>
      <c r="B23" s="59"/>
      <c r="C23" s="59"/>
      <c r="D23" s="59"/>
    </row>
    <row r="24" spans="1:4" x14ac:dyDescent="0.2">
      <c r="A24" s="103" t="s">
        <v>54</v>
      </c>
      <c r="B24" s="50">
        <f>SUM(B20:B23)</f>
        <v>0</v>
      </c>
      <c r="C24" s="50">
        <f>SUM(C20:C23)</f>
        <v>0</v>
      </c>
      <c r="D24" s="50">
        <f>SUM(D20:D23)</f>
        <v>0</v>
      </c>
    </row>
    <row r="25" spans="1:4" x14ac:dyDescent="0.2">
      <c r="A25" s="154"/>
      <c r="B25" s="50"/>
      <c r="C25" s="50"/>
      <c r="D25" s="50"/>
    </row>
    <row r="26" spans="1:4" x14ac:dyDescent="0.2">
      <c r="A26" s="40" t="s">
        <v>97</v>
      </c>
      <c r="B26" s="140"/>
      <c r="C26" s="140"/>
      <c r="D26" s="140"/>
    </row>
    <row r="27" spans="1:4" x14ac:dyDescent="0.2">
      <c r="A27" s="40" t="s">
        <v>98</v>
      </c>
      <c r="B27" s="140"/>
      <c r="C27" s="140"/>
      <c r="D27" s="140"/>
    </row>
    <row r="28" spans="1:4" x14ac:dyDescent="0.2">
      <c r="A28" s="40" t="s">
        <v>99</v>
      </c>
      <c r="B28" s="140"/>
      <c r="C28" s="140"/>
      <c r="D28" s="140"/>
    </row>
    <row r="29" spans="1:4" x14ac:dyDescent="0.2">
      <c r="A29" s="40" t="s">
        <v>100</v>
      </c>
      <c r="B29" s="140"/>
      <c r="C29" s="140"/>
      <c r="D29" s="140"/>
    </row>
    <row r="30" spans="1:4" x14ac:dyDescent="0.2">
      <c r="A30" s="103" t="s">
        <v>54</v>
      </c>
      <c r="B30" s="50">
        <f>SUM(B26:B29)</f>
        <v>0</v>
      </c>
      <c r="C30" s="50">
        <f>SUM(C26:C29)</f>
        <v>0</v>
      </c>
      <c r="D30" s="50">
        <f>SUM(D26:D29)</f>
        <v>0</v>
      </c>
    </row>
    <row r="31" spans="1:4" x14ac:dyDescent="0.2">
      <c r="A31" s="154"/>
      <c r="B31" s="50"/>
      <c r="C31" s="50"/>
      <c r="D31" s="50"/>
    </row>
    <row r="32" spans="1:4" x14ac:dyDescent="0.2">
      <c r="A32" s="40" t="s">
        <v>97</v>
      </c>
      <c r="B32" s="140"/>
      <c r="C32" s="140"/>
      <c r="D32" s="140"/>
    </row>
    <row r="33" spans="1:4" x14ac:dyDescent="0.2">
      <c r="A33" s="40" t="s">
        <v>98</v>
      </c>
      <c r="B33" s="140"/>
      <c r="C33" s="140"/>
      <c r="D33" s="140"/>
    </row>
    <row r="34" spans="1:4" x14ac:dyDescent="0.2">
      <c r="A34" s="40" t="s">
        <v>99</v>
      </c>
      <c r="B34" s="140"/>
      <c r="C34" s="140"/>
      <c r="D34" s="140"/>
    </row>
    <row r="35" spans="1:4" x14ac:dyDescent="0.2">
      <c r="A35" s="40" t="s">
        <v>100</v>
      </c>
      <c r="B35" s="140"/>
      <c r="C35" s="140"/>
      <c r="D35" s="140"/>
    </row>
    <row r="36" spans="1:4" x14ac:dyDescent="0.2">
      <c r="A36" s="103" t="s">
        <v>54</v>
      </c>
      <c r="B36" s="50">
        <f>SUM(B32:B35)</f>
        <v>0</v>
      </c>
      <c r="C36" s="50">
        <f>SUM(C32:C35)</f>
        <v>0</v>
      </c>
      <c r="D36" s="50">
        <f>SUM(D32:D35)</f>
        <v>0</v>
      </c>
    </row>
    <row r="37" spans="1:4" x14ac:dyDescent="0.2">
      <c r="A37" s="154"/>
      <c r="B37" s="50"/>
      <c r="C37" s="50"/>
      <c r="D37" s="50"/>
    </row>
    <row r="38" spans="1:4" x14ac:dyDescent="0.2">
      <c r="A38" s="40" t="s">
        <v>97</v>
      </c>
      <c r="B38" s="140"/>
      <c r="C38" s="140"/>
      <c r="D38" s="140"/>
    </row>
    <row r="39" spans="1:4" x14ac:dyDescent="0.2">
      <c r="A39" s="40" t="s">
        <v>98</v>
      </c>
      <c r="B39" s="140"/>
      <c r="C39" s="140"/>
      <c r="D39" s="140"/>
    </row>
    <row r="40" spans="1:4" x14ac:dyDescent="0.2">
      <c r="A40" s="40" t="s">
        <v>99</v>
      </c>
      <c r="B40" s="140"/>
      <c r="C40" s="140"/>
      <c r="D40" s="140"/>
    </row>
    <row r="41" spans="1:4" x14ac:dyDescent="0.2">
      <c r="A41" s="40" t="s">
        <v>100</v>
      </c>
      <c r="B41" s="140"/>
      <c r="C41" s="140"/>
      <c r="D41" s="140"/>
    </row>
    <row r="42" spans="1:4" x14ac:dyDescent="0.2">
      <c r="A42" s="103" t="s">
        <v>54</v>
      </c>
      <c r="B42" s="50">
        <f>SUM(B38:B41)</f>
        <v>0</v>
      </c>
      <c r="C42" s="50">
        <f>SUM(C38:C41)</f>
        <v>0</v>
      </c>
      <c r="D42" s="50">
        <f>SUM(D38:D41)</f>
        <v>0</v>
      </c>
    </row>
    <row r="43" spans="1:4" x14ac:dyDescent="0.2">
      <c r="A43" s="38" t="s">
        <v>547</v>
      </c>
      <c r="B43" s="149">
        <f>SUM(B12+B18+B24+B30+B36+B42)</f>
        <v>0</v>
      </c>
      <c r="C43" s="149">
        <f>SUM(C12+C18+C24+C30+C36+C42)</f>
        <v>0</v>
      </c>
      <c r="D43" s="149">
        <f>SUM(D12+D18+D24+D30+D36+D42)</f>
        <v>0</v>
      </c>
    </row>
    <row r="44" spans="1:4" x14ac:dyDescent="0.2">
      <c r="A44" s="26"/>
      <c r="B44" s="26"/>
      <c r="C44" s="26"/>
      <c r="D44" s="26"/>
    </row>
    <row r="45" spans="1:4" x14ac:dyDescent="0.2">
      <c r="A45" s="656" t="s">
        <v>546</v>
      </c>
      <c r="B45" s="657"/>
      <c r="C45" s="657"/>
      <c r="D45" s="657"/>
    </row>
    <row r="46" spans="1:4" x14ac:dyDescent="0.2">
      <c r="A46" s="26"/>
      <c r="B46" s="26"/>
      <c r="C46" s="26"/>
      <c r="D46" s="26"/>
    </row>
    <row r="47" spans="1:4" x14ac:dyDescent="0.2">
      <c r="A47" s="26"/>
      <c r="B47" s="32" t="str">
        <f>CONCATENATE("Page No.",'Road &amp; Bridge'!C29,"b")</f>
        <v>Page No.7b</v>
      </c>
      <c r="C47" s="26"/>
      <c r="D47" s="26"/>
    </row>
  </sheetData>
  <sheetProtection sheet="1"/>
  <mergeCells count="4">
    <mergeCell ref="A45:D45"/>
    <mergeCell ref="B4:B5"/>
    <mergeCell ref="C4:C5"/>
    <mergeCell ref="D4:D5"/>
  </mergeCells>
  <phoneticPr fontId="0" type="noConversion"/>
  <pageMargins left="1.1200000000000001" right="0.5" top="0.74" bottom="0.34" header="0.5" footer="0"/>
  <pageSetup scale="75" orientation="portrait" blackAndWhite="1" horizontalDpi="300" verticalDpi="300"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B1:K100"/>
  <sheetViews>
    <sheetView topLeftCell="A55" zoomScaleNormal="100" workbookViewId="0">
      <selection activeCell="E67" sqref="E67"/>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5.664062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inputPrYr!B20</f>
        <v>Fair</v>
      </c>
      <c r="C5" s="231" t="str">
        <f>CONCATENATE("Actual for ",E1-2,"")</f>
        <v>Actual for 2022</v>
      </c>
      <c r="D5" s="231" t="str">
        <f>CONCATENATE("Estimate for ",E1-1,"")</f>
        <v>Estimate for 2023</v>
      </c>
      <c r="E5" s="136" t="str">
        <f>CONCATENATE("Year for ",E1,"")</f>
        <v>Year for 2024</v>
      </c>
    </row>
    <row r="6" spans="2:10" x14ac:dyDescent="0.2">
      <c r="B6" s="60" t="s">
        <v>182</v>
      </c>
      <c r="C6" s="229">
        <v>716</v>
      </c>
      <c r="D6" s="232">
        <f>C36</f>
        <v>823</v>
      </c>
      <c r="E6" s="106">
        <f>D36</f>
        <v>408</v>
      </c>
    </row>
    <row r="7" spans="2:10" x14ac:dyDescent="0.2">
      <c r="B7" s="128" t="s">
        <v>184</v>
      </c>
      <c r="C7" s="139"/>
      <c r="D7" s="139"/>
      <c r="E7" s="50"/>
    </row>
    <row r="8" spans="2:10" x14ac:dyDescent="0.2">
      <c r="B8" s="60" t="s">
        <v>81</v>
      </c>
      <c r="C8" s="229">
        <v>19157</v>
      </c>
      <c r="D8" s="232">
        <f>IF(inputPrYr!H20&gt;0,inputPrYr!H20,inputPrYr!E20)</f>
        <v>18368</v>
      </c>
      <c r="E8" s="165" t="s">
        <v>66</v>
      </c>
    </row>
    <row r="9" spans="2:10" x14ac:dyDescent="0.2">
      <c r="B9" s="60" t="s">
        <v>82</v>
      </c>
      <c r="C9" s="229">
        <v>90</v>
      </c>
      <c r="D9" s="229">
        <v>255</v>
      </c>
      <c r="E9" s="42">
        <v>100</v>
      </c>
    </row>
    <row r="10" spans="2:10" x14ac:dyDescent="0.2">
      <c r="B10" s="60" t="s">
        <v>83</v>
      </c>
      <c r="C10" s="229">
        <v>1138</v>
      </c>
      <c r="D10" s="229">
        <v>1122</v>
      </c>
      <c r="E10" s="106">
        <f>Mvalloc!D10</f>
        <v>1045</v>
      </c>
      <c r="G10" s="652" t="str">
        <f>CONCATENATE("Desired Carryover Into ",E1+1,"")</f>
        <v>Desired Carryover Into 2025</v>
      </c>
      <c r="H10" s="653"/>
      <c r="I10" s="653"/>
      <c r="J10" s="654"/>
    </row>
    <row r="11" spans="2:10" x14ac:dyDescent="0.2">
      <c r="B11" s="60" t="s">
        <v>84</v>
      </c>
      <c r="C11" s="229">
        <v>26</v>
      </c>
      <c r="D11" s="229">
        <v>26</v>
      </c>
      <c r="E11" s="106">
        <f>Mvalloc!E10</f>
        <v>24</v>
      </c>
      <c r="G11" s="292"/>
      <c r="H11" s="293"/>
      <c r="I11" s="294"/>
      <c r="J11" s="295"/>
    </row>
    <row r="12" spans="2:10" x14ac:dyDescent="0.2">
      <c r="B12" s="139" t="s">
        <v>163</v>
      </c>
      <c r="C12" s="229"/>
      <c r="D12" s="229">
        <v>202</v>
      </c>
      <c r="E12" s="106">
        <f>Mvalloc!F10</f>
        <v>196</v>
      </c>
      <c r="G12" s="296" t="s">
        <v>284</v>
      </c>
      <c r="H12" s="294"/>
      <c r="I12" s="294"/>
      <c r="J12" s="297">
        <v>0</v>
      </c>
    </row>
    <row r="13" spans="2:10" x14ac:dyDescent="0.2">
      <c r="B13" s="137" t="s">
        <v>335</v>
      </c>
      <c r="C13" s="229">
        <v>177</v>
      </c>
      <c r="D13" s="229">
        <v>66</v>
      </c>
      <c r="E13" s="106">
        <f>Mvalloc!G10</f>
        <v>61</v>
      </c>
      <c r="G13" s="292" t="s">
        <v>285</v>
      </c>
      <c r="H13" s="293"/>
      <c r="I13" s="293"/>
      <c r="J13" s="298" t="str">
        <f>IF(J12=0,"",ROUND((J12+E42-G25)/inputOth!E6*1000,3)-G30)</f>
        <v/>
      </c>
    </row>
    <row r="14" spans="2:10" x14ac:dyDescent="0.2">
      <c r="B14" s="137" t="s">
        <v>336</v>
      </c>
      <c r="C14" s="229"/>
      <c r="D14" s="229">
        <v>13</v>
      </c>
      <c r="E14" s="106">
        <f>Mvalloc!H10</f>
        <v>12</v>
      </c>
      <c r="G14" s="299" t="str">
        <f>CONCATENATE("",E1," Tot Exp/Non-Appr Must Be:")</f>
        <v>2024 Tot Exp/Non-Appr Must Be:</v>
      </c>
      <c r="H14" s="300"/>
      <c r="I14" s="301"/>
      <c r="J14" s="302">
        <f>IF(J12&gt;0,IF(E39&lt;E24,IF(J12=G25,E39,((J12-G25)*(1-D41))+E24),E39+(J12-G25)),0)</f>
        <v>0</v>
      </c>
    </row>
    <row r="15" spans="2:10" x14ac:dyDescent="0.2">
      <c r="B15" s="150"/>
      <c r="C15" s="229"/>
      <c r="D15" s="229"/>
      <c r="E15" s="42"/>
      <c r="G15" s="303" t="s">
        <v>305</v>
      </c>
      <c r="H15" s="304"/>
      <c r="I15" s="304"/>
      <c r="J15" s="305">
        <f>IF(J12&gt;0,J14-E39,0)</f>
        <v>0</v>
      </c>
    </row>
    <row r="16" spans="2:10" x14ac:dyDescent="0.25">
      <c r="B16" s="150"/>
      <c r="C16" s="229"/>
      <c r="D16" s="229"/>
      <c r="E16" s="42"/>
      <c r="G16" s="1"/>
      <c r="H16" s="1"/>
      <c r="I16" s="1"/>
      <c r="J16" s="1"/>
    </row>
    <row r="17" spans="2:11" x14ac:dyDescent="0.2">
      <c r="B17" s="150"/>
      <c r="C17" s="229"/>
      <c r="D17" s="229"/>
      <c r="E17" s="42"/>
      <c r="G17" s="652" t="str">
        <f>CONCATENATE("Projected Carryover Into ",E1+1,"")</f>
        <v>Projected Carryover Into 2025</v>
      </c>
      <c r="H17" s="658"/>
      <c r="I17" s="658"/>
      <c r="J17" s="659"/>
    </row>
    <row r="18" spans="2:11" x14ac:dyDescent="0.2">
      <c r="B18" s="150"/>
      <c r="C18" s="229"/>
      <c r="D18" s="229"/>
      <c r="E18" s="42"/>
      <c r="G18" s="292"/>
      <c r="H18" s="294"/>
      <c r="I18" s="294"/>
      <c r="J18" s="311"/>
    </row>
    <row r="19" spans="2:11" x14ac:dyDescent="0.2">
      <c r="B19" s="142" t="s">
        <v>87</v>
      </c>
      <c r="C19" s="229"/>
      <c r="D19" s="229"/>
      <c r="E19" s="42"/>
      <c r="G19" s="312">
        <f>D36</f>
        <v>408</v>
      </c>
      <c r="H19" s="310" t="str">
        <f>CONCATENATE("",E1-1," Ending Cash Balance (est.)")</f>
        <v>2023 Ending Cash Balance (est.)</v>
      </c>
      <c r="I19" s="313"/>
      <c r="J19" s="311"/>
    </row>
    <row r="20" spans="2:11" x14ac:dyDescent="0.2">
      <c r="B20" s="143" t="s">
        <v>40</v>
      </c>
      <c r="C20" s="229">
        <v>-481</v>
      </c>
      <c r="D20" s="229">
        <v>-467</v>
      </c>
      <c r="E20" s="106">
        <f>'NR Rebate'!E9*-1</f>
        <v>-503</v>
      </c>
      <c r="G20" s="312">
        <f>E23</f>
        <v>935</v>
      </c>
      <c r="H20" s="294" t="str">
        <f>CONCATENATE("",E1," Non-AV Receipts (est.)")</f>
        <v>2024 Non-AV Receipts (est.)</v>
      </c>
      <c r="I20" s="313"/>
      <c r="J20" s="311"/>
    </row>
    <row r="21" spans="2:11" x14ac:dyDescent="0.2">
      <c r="B21" s="143" t="s">
        <v>38</v>
      </c>
      <c r="C21" s="229"/>
      <c r="D21" s="229"/>
      <c r="E21" s="42"/>
      <c r="G21" s="314">
        <f>IF(E41&gt;0,E40,E42)</f>
        <v>18657</v>
      </c>
      <c r="H21" s="294" t="str">
        <f>CONCATENATE("",E1," Ad Valorem Tax (est.)")</f>
        <v>2024 Ad Valorem Tax (est.)</v>
      </c>
      <c r="I21" s="313"/>
      <c r="J21" s="311"/>
      <c r="K21" s="308" t="str">
        <f>IF(G21=E42,"","Note: Does not include Delinquent Taxes")</f>
        <v>Note: Does not include Delinquent Taxes</v>
      </c>
    </row>
    <row r="22" spans="2:11" x14ac:dyDescent="0.2">
      <c r="B22" s="143" t="s">
        <v>278</v>
      </c>
      <c r="C22" s="230" t="str">
        <f>IF(C23*0.1&lt;C21,"Exceed 10% Rule","")</f>
        <v/>
      </c>
      <c r="D22" s="230" t="str">
        <f>IF(D23*0.1&lt;D21,"Exceed 10% Rule","")</f>
        <v/>
      </c>
      <c r="E22" s="170" t="str">
        <f>IF(E23*0.1+E42&lt;E21,"Exceed 10% Rule","")</f>
        <v/>
      </c>
      <c r="G22" s="312">
        <f>SUM(G19:G21)</f>
        <v>20000</v>
      </c>
      <c r="H22" s="294" t="str">
        <f>CONCATENATE("Total ",E1," Resources Available")</f>
        <v>Total 2024 Resources Available</v>
      </c>
      <c r="I22" s="313"/>
      <c r="J22" s="311"/>
    </row>
    <row r="23" spans="2:11" x14ac:dyDescent="0.2">
      <c r="B23" s="145" t="s">
        <v>88</v>
      </c>
      <c r="C23" s="457">
        <f>SUM(C8:C21)</f>
        <v>20107</v>
      </c>
      <c r="D23" s="457">
        <f>SUM(D8:D21)</f>
        <v>19585</v>
      </c>
      <c r="E23" s="457">
        <f>SUM(E8:E21)</f>
        <v>935</v>
      </c>
      <c r="G23" s="315"/>
      <c r="H23" s="294"/>
      <c r="I23" s="294"/>
      <c r="J23" s="311"/>
    </row>
    <row r="24" spans="2:11" x14ac:dyDescent="0.25">
      <c r="B24" s="145" t="s">
        <v>89</v>
      </c>
      <c r="C24" s="457">
        <f>C6+C23</f>
        <v>20823</v>
      </c>
      <c r="D24" s="457">
        <f>D6+D23</f>
        <v>20408</v>
      </c>
      <c r="E24" s="457">
        <f>E6+E23</f>
        <v>1343</v>
      </c>
      <c r="G24" s="314">
        <f>ROUND(C35*0.05+C35,0)</f>
        <v>21000</v>
      </c>
      <c r="H24" s="294" t="str">
        <f>CONCATENATE("Less ",E1-2," Expenditures + 5%")</f>
        <v>Less 2022 Expenditures + 5%</v>
      </c>
      <c r="I24" s="313"/>
      <c r="J24" s="316"/>
    </row>
    <row r="25" spans="2:11" x14ac:dyDescent="0.2">
      <c r="B25" s="60" t="s">
        <v>92</v>
      </c>
      <c r="C25" s="143"/>
      <c r="D25" s="143"/>
      <c r="E25" s="38"/>
      <c r="G25" s="317">
        <f>G22-G24</f>
        <v>-1000</v>
      </c>
      <c r="H25" s="318" t="str">
        <f>CONCATENATE("Projected ",E1+1," carryover (est.)")</f>
        <v>Projected 2025 carryover (est.)</v>
      </c>
      <c r="I25" s="319"/>
      <c r="J25" s="320"/>
    </row>
    <row r="26" spans="2:11" x14ac:dyDescent="0.25">
      <c r="B26" s="150" t="s">
        <v>1004</v>
      </c>
      <c r="C26" s="229">
        <v>20000</v>
      </c>
      <c r="D26" s="229">
        <v>20000</v>
      </c>
      <c r="E26" s="42">
        <v>20000</v>
      </c>
      <c r="G26" s="1"/>
      <c r="H26" s="1"/>
      <c r="I26" s="1"/>
      <c r="J26" s="1"/>
    </row>
    <row r="27" spans="2:11" x14ac:dyDescent="0.2">
      <c r="B27" s="150"/>
      <c r="C27" s="229"/>
      <c r="D27" s="229"/>
      <c r="E27" s="42"/>
      <c r="G27" s="633" t="s">
        <v>543</v>
      </c>
      <c r="H27" s="634"/>
      <c r="I27" s="634"/>
      <c r="J27" s="635"/>
    </row>
    <row r="28" spans="2:11" x14ac:dyDescent="0.2">
      <c r="B28" s="150"/>
      <c r="C28" s="229"/>
      <c r="D28" s="229"/>
      <c r="E28" s="42"/>
      <c r="G28" s="636"/>
      <c r="H28" s="637"/>
      <c r="I28" s="637"/>
      <c r="J28" s="638"/>
    </row>
    <row r="29" spans="2:11" x14ac:dyDescent="0.2">
      <c r="B29" s="150"/>
      <c r="C29" s="229"/>
      <c r="D29" s="229"/>
      <c r="E29" s="42"/>
      <c r="G29" s="504">
        <f>'Budget Hearing Notice'!H19</f>
        <v>0.11799999999999999</v>
      </c>
      <c r="H29" s="310" t="str">
        <f>CONCATENATE("",E1," Estimated Fund Mill Rate")</f>
        <v>2024 Estimated Fund Mill Rate</v>
      </c>
      <c r="I29" s="505"/>
      <c r="J29" s="506"/>
    </row>
    <row r="30" spans="2:11" x14ac:dyDescent="0.2">
      <c r="B30" s="150"/>
      <c r="C30" s="229"/>
      <c r="D30" s="229"/>
      <c r="E30" s="42"/>
      <c r="G30" s="507">
        <f>'Budget Hearing Notice'!E19</f>
        <v>0.11600000000000001</v>
      </c>
      <c r="H30" s="310" t="str">
        <f>CONCATENATE("",E1-1," Fund Mill Rate")</f>
        <v>2023 Fund Mill Rate</v>
      </c>
      <c r="I30" s="505"/>
      <c r="J30" s="506"/>
    </row>
    <row r="31" spans="2:11" x14ac:dyDescent="0.2">
      <c r="B31" s="150"/>
      <c r="C31" s="229"/>
      <c r="D31" s="229"/>
      <c r="E31" s="42"/>
      <c r="G31" s="508">
        <f>'Budget Hearing Notice'!H62</f>
        <v>36.917000000000002</v>
      </c>
      <c r="H31" s="509" t="s">
        <v>544</v>
      </c>
      <c r="I31" s="505"/>
      <c r="J31" s="506"/>
    </row>
    <row r="32" spans="2:11" x14ac:dyDescent="0.2">
      <c r="B32" s="143" t="str">
        <f>CONCATENATE("Cash Forward (",E1," column)")</f>
        <v>Cash Forward (2024 column)</v>
      </c>
      <c r="C32" s="229"/>
      <c r="D32" s="229"/>
      <c r="E32" s="42"/>
      <c r="G32" s="504">
        <f>'Budget Hearing Notice'!H61</f>
        <v>36.917000000000002</v>
      </c>
      <c r="H32" s="310" t="str">
        <f>CONCATENATE(E1," Estimated Total Mill Rate")</f>
        <v>2024 Estimated Total Mill Rate</v>
      </c>
      <c r="I32" s="505"/>
      <c r="J32" s="506"/>
    </row>
    <row r="33" spans="2:10" x14ac:dyDescent="0.2">
      <c r="B33" s="143" t="s">
        <v>38</v>
      </c>
      <c r="C33" s="229"/>
      <c r="D33" s="229"/>
      <c r="E33" s="42"/>
      <c r="G33" s="510">
        <f>'Budget Hearing Notice'!E61</f>
        <v>36.946999999999996</v>
      </c>
      <c r="H33" s="310" t="str">
        <f>CONCATENATE(E1-1," Total Mill Rate")</f>
        <v>2023 Total Mill Rate</v>
      </c>
      <c r="I33" s="505"/>
      <c r="J33" s="506"/>
    </row>
    <row r="34" spans="2:10" x14ac:dyDescent="0.2">
      <c r="B34" s="143" t="s">
        <v>277</v>
      </c>
      <c r="C34" s="230" t="str">
        <f>IF(C35*0.1&lt;C33,"Exceed 10% Rule","")</f>
        <v/>
      </c>
      <c r="D34" s="230" t="str">
        <f>IF(D35*0.1&lt;D33,"Exceed 10% Rule","")</f>
        <v/>
      </c>
      <c r="E34" s="170" t="str">
        <f>IF(E35*0.1&lt;E33,"Exceed 10% Rule","")</f>
        <v/>
      </c>
      <c r="G34" s="321"/>
      <c r="H34" s="293"/>
      <c r="I34" s="293"/>
      <c r="J34" s="323"/>
    </row>
    <row r="35" spans="2:10" x14ac:dyDescent="0.2">
      <c r="B35" s="145" t="s">
        <v>93</v>
      </c>
      <c r="C35" s="457">
        <f>SUM(C26:C33)</f>
        <v>20000</v>
      </c>
      <c r="D35" s="457">
        <f>SUM(D26:D33)</f>
        <v>20000</v>
      </c>
      <c r="E35" s="457">
        <f>SUM(E26:E33)</f>
        <v>20000</v>
      </c>
      <c r="G35" s="639" t="s">
        <v>545</v>
      </c>
      <c r="H35" s="640"/>
      <c r="I35" s="640"/>
      <c r="J35" s="643" t="str">
        <f>IF(G32&gt;G31, "Yes", "No")</f>
        <v>No</v>
      </c>
    </row>
    <row r="36" spans="2:10" x14ac:dyDescent="0.2">
      <c r="B36" s="60" t="s">
        <v>183</v>
      </c>
      <c r="C36" s="106">
        <f>C24-C35</f>
        <v>823</v>
      </c>
      <c r="D36" s="106">
        <f>D24-D35</f>
        <v>408</v>
      </c>
      <c r="E36" s="165" t="s">
        <v>66</v>
      </c>
      <c r="G36" s="641"/>
      <c r="H36" s="642"/>
      <c r="I36" s="642"/>
      <c r="J36" s="644"/>
    </row>
    <row r="37" spans="2:10" x14ac:dyDescent="0.2">
      <c r="B37" s="135" t="str">
        <f>CONCATENATE("",E1-2,"/",E1-1,"/",E1," Budget Authority Amount:")</f>
        <v>2022/2023/2024 Budget Authority Amount:</v>
      </c>
      <c r="C37" s="167">
        <f>inputOth!B38</f>
        <v>20460</v>
      </c>
      <c r="D37" s="167">
        <f>inputPrYr!D20</f>
        <v>20000</v>
      </c>
      <c r="E37" s="106">
        <f>E35</f>
        <v>20000</v>
      </c>
      <c r="F37" s="151"/>
      <c r="G37" s="645" t="str">
        <f>IF(J35="Yes", "Follow procedure prescribed by KSA 79-2988 to exceed the Revenue Neutral Rate.", " ")</f>
        <v xml:space="preserve"> </v>
      </c>
      <c r="H37" s="645"/>
      <c r="I37" s="645"/>
      <c r="J37" s="645"/>
    </row>
    <row r="38" spans="2:10" x14ac:dyDescent="0.2">
      <c r="B38" s="125"/>
      <c r="C38" s="647" t="s">
        <v>281</v>
      </c>
      <c r="D38" s="648"/>
      <c r="E38" s="42"/>
      <c r="F38" s="238" t="str">
        <f>IF(E35/0.95-E35&lt;E38,"Exceeds 5%","")</f>
        <v/>
      </c>
      <c r="G38" s="646"/>
      <c r="H38" s="646"/>
      <c r="I38" s="646"/>
      <c r="J38" s="646"/>
    </row>
    <row r="39" spans="2:10" x14ac:dyDescent="0.2">
      <c r="B39" s="263" t="str">
        <f>CONCATENATE(C97,"     ",D97)</f>
        <v xml:space="preserve">     </v>
      </c>
      <c r="C39" s="649" t="s">
        <v>282</v>
      </c>
      <c r="D39" s="650"/>
      <c r="E39" s="106">
        <f>E35+E38</f>
        <v>20000</v>
      </c>
      <c r="G39" s="646"/>
      <c r="H39" s="646"/>
      <c r="I39" s="646"/>
      <c r="J39" s="646"/>
    </row>
    <row r="40" spans="2:10" x14ac:dyDescent="0.25">
      <c r="B40" s="263" t="str">
        <f>CONCATENATE(C98,"     ",D98)</f>
        <v xml:space="preserve">     </v>
      </c>
      <c r="C40" s="152"/>
      <c r="D40" s="90" t="s">
        <v>94</v>
      </c>
      <c r="E40" s="106">
        <f>IF(E39-E24&gt;0,E39-E24,0)</f>
        <v>18657</v>
      </c>
      <c r="G40" s="1"/>
      <c r="H40" s="1"/>
      <c r="I40" s="1"/>
      <c r="J40" s="1"/>
    </row>
    <row r="41" spans="2:10" x14ac:dyDescent="0.25">
      <c r="B41" s="90"/>
      <c r="C41" s="262" t="s">
        <v>283</v>
      </c>
      <c r="D41" s="291">
        <f>inputOth!$E$28</f>
        <v>5.4000000000000003E-3</v>
      </c>
      <c r="E41" s="106">
        <f>ROUND(IF(D41&gt;0,($E$40*D41),0),0)</f>
        <v>101</v>
      </c>
      <c r="G41" s="1"/>
      <c r="H41" s="1"/>
      <c r="I41" s="1"/>
      <c r="J41" s="1"/>
    </row>
    <row r="42" spans="2:10" x14ac:dyDescent="0.25">
      <c r="B42" s="26"/>
      <c r="C42" s="631" t="str">
        <f>CONCATENATE("Amount of  ",$E$1-1," Ad Valorem Tax")</f>
        <v>Amount of  2023 Ad Valorem Tax</v>
      </c>
      <c r="D42" s="651"/>
      <c r="E42" s="106">
        <f>E40+E41</f>
        <v>18758</v>
      </c>
      <c r="G42" s="1"/>
      <c r="H42" s="1"/>
      <c r="I42" s="1"/>
      <c r="J42" s="1"/>
    </row>
    <row r="43" spans="2:10" x14ac:dyDescent="0.25">
      <c r="B43" s="26"/>
      <c r="C43" s="155"/>
      <c r="D43" s="155"/>
      <c r="E43" s="155"/>
      <c r="G43" s="1"/>
      <c r="H43" s="1"/>
      <c r="I43" s="1"/>
      <c r="J43" s="1"/>
    </row>
    <row r="44" spans="2:10" x14ac:dyDescent="0.25">
      <c r="B44" s="25" t="s">
        <v>80</v>
      </c>
      <c r="C44" s="333" t="str">
        <f t="shared" ref="C44:E45" si="0">C4</f>
        <v xml:space="preserve">Prior Year </v>
      </c>
      <c r="D44" s="334" t="str">
        <f t="shared" si="0"/>
        <v xml:space="preserve">Current Year </v>
      </c>
      <c r="E44" s="80" t="str">
        <f t="shared" si="0"/>
        <v xml:space="preserve">Proposed Budget </v>
      </c>
      <c r="G44" s="1"/>
      <c r="H44" s="1"/>
      <c r="I44" s="1"/>
      <c r="J44" s="1"/>
    </row>
    <row r="45" spans="2:10" x14ac:dyDescent="0.25">
      <c r="B45" s="246" t="str">
        <f>(inputPrYr!B21)</f>
        <v>Conservation</v>
      </c>
      <c r="C45" s="231" t="str">
        <f t="shared" si="0"/>
        <v>Actual for 2022</v>
      </c>
      <c r="D45" s="231" t="str">
        <f t="shared" si="0"/>
        <v>Estimate for 2023</v>
      </c>
      <c r="E45" s="136" t="str">
        <f t="shared" si="0"/>
        <v>Year for 2024</v>
      </c>
      <c r="G45" s="1"/>
      <c r="H45" s="1"/>
      <c r="I45" s="1"/>
      <c r="J45" s="1"/>
    </row>
    <row r="46" spans="2:10" x14ac:dyDescent="0.25">
      <c r="B46" s="60" t="s">
        <v>182</v>
      </c>
      <c r="C46" s="229">
        <v>637</v>
      </c>
      <c r="D46" s="232">
        <f>C75</f>
        <v>644</v>
      </c>
      <c r="E46" s="106">
        <f>D75</f>
        <v>195</v>
      </c>
      <c r="G46" s="1"/>
      <c r="H46" s="1"/>
      <c r="I46" s="1"/>
      <c r="J46" s="1"/>
    </row>
    <row r="47" spans="2:10" x14ac:dyDescent="0.25">
      <c r="B47" s="137" t="s">
        <v>184</v>
      </c>
      <c r="C47" s="139"/>
      <c r="D47" s="139"/>
      <c r="E47" s="50"/>
      <c r="G47" s="1"/>
      <c r="H47" s="1"/>
      <c r="I47" s="1"/>
      <c r="J47" s="1"/>
    </row>
    <row r="48" spans="2:10" x14ac:dyDescent="0.25">
      <c r="B48" s="60" t="s">
        <v>81</v>
      </c>
      <c r="C48" s="229">
        <v>33599</v>
      </c>
      <c r="D48" s="232">
        <f>IF(inputPrYr!H21&gt;0,inputPrYr!H21,inputPrYr!E21)</f>
        <v>32600</v>
      </c>
      <c r="E48" s="165" t="s">
        <v>66</v>
      </c>
      <c r="G48" s="1"/>
      <c r="H48" s="1"/>
      <c r="I48" s="1"/>
      <c r="J48" s="1"/>
    </row>
    <row r="49" spans="2:11" x14ac:dyDescent="0.25">
      <c r="B49" s="60" t="s">
        <v>82</v>
      </c>
      <c r="C49" s="229">
        <v>325</v>
      </c>
      <c r="D49" s="229">
        <v>532</v>
      </c>
      <c r="E49" s="42">
        <v>300</v>
      </c>
      <c r="G49" s="1"/>
      <c r="H49" s="1"/>
      <c r="I49" s="1"/>
      <c r="J49" s="1"/>
    </row>
    <row r="50" spans="2:11" x14ac:dyDescent="0.2">
      <c r="B50" s="60" t="s">
        <v>83</v>
      </c>
      <c r="C50" s="229">
        <v>1782</v>
      </c>
      <c r="D50" s="229">
        <v>1679</v>
      </c>
      <c r="E50" s="106">
        <f>Mvalloc!D11</f>
        <v>1854</v>
      </c>
      <c r="G50" s="652" t="str">
        <f>CONCATENATE("Desired Carryover Into ",E1+1,"")</f>
        <v>Desired Carryover Into 2025</v>
      </c>
      <c r="H50" s="653"/>
      <c r="I50" s="653"/>
      <c r="J50" s="654"/>
    </row>
    <row r="51" spans="2:11" x14ac:dyDescent="0.2">
      <c r="B51" s="60" t="s">
        <v>84</v>
      </c>
      <c r="C51" s="229">
        <v>40</v>
      </c>
      <c r="D51" s="229">
        <v>40</v>
      </c>
      <c r="E51" s="106">
        <f>Mvalloc!E11</f>
        <v>42</v>
      </c>
      <c r="G51" s="292"/>
      <c r="H51" s="293"/>
      <c r="I51" s="294"/>
      <c r="J51" s="295"/>
    </row>
    <row r="52" spans="2:11" x14ac:dyDescent="0.2">
      <c r="B52" s="139" t="s">
        <v>163</v>
      </c>
      <c r="C52" s="229"/>
      <c r="D52" s="229">
        <v>307</v>
      </c>
      <c r="E52" s="106">
        <f>Mvalloc!F11</f>
        <v>348</v>
      </c>
      <c r="G52" s="296" t="s">
        <v>284</v>
      </c>
      <c r="H52" s="294"/>
      <c r="I52" s="294"/>
      <c r="J52" s="297">
        <v>0</v>
      </c>
    </row>
    <row r="53" spans="2:11" x14ac:dyDescent="0.2">
      <c r="B53" s="137" t="s">
        <v>335</v>
      </c>
      <c r="C53" s="229">
        <v>104</v>
      </c>
      <c r="D53" s="229">
        <v>100</v>
      </c>
      <c r="E53" s="106">
        <f>Mvalloc!G11</f>
        <v>108</v>
      </c>
      <c r="G53" s="292" t="s">
        <v>285</v>
      </c>
      <c r="H53" s="293"/>
      <c r="I53" s="293"/>
      <c r="J53" s="298" t="str">
        <f>IF(J52=0,"",ROUND((J52+E81-G65)/inputOth!E6*1000,3)-G70)</f>
        <v/>
      </c>
    </row>
    <row r="54" spans="2:11" x14ac:dyDescent="0.2">
      <c r="B54" s="137" t="s">
        <v>336</v>
      </c>
      <c r="C54" s="229"/>
      <c r="D54" s="229">
        <v>21</v>
      </c>
      <c r="E54" s="106">
        <f>Mvalloc!H11</f>
        <v>22</v>
      </c>
      <c r="G54" s="299" t="str">
        <f>CONCATENATE("",E1," Tot Exp/Non-Appr Must Be:")</f>
        <v>2024 Tot Exp/Non-Appr Must Be:</v>
      </c>
      <c r="H54" s="300"/>
      <c r="I54" s="301"/>
      <c r="J54" s="302">
        <f>IF(J52&gt;0,IF(E78&lt;E64,IF(J52=G65,E78,((J52-G65)*(1-D80))+E64),E78+(J52-G65)),0)</f>
        <v>0</v>
      </c>
    </row>
    <row r="55" spans="2:11" x14ac:dyDescent="0.2">
      <c r="B55" s="150"/>
      <c r="C55" s="229"/>
      <c r="D55" s="229"/>
      <c r="E55" s="42"/>
      <c r="G55" s="303" t="s">
        <v>305</v>
      </c>
      <c r="H55" s="304"/>
      <c r="I55" s="304"/>
      <c r="J55" s="305">
        <f>IF(J52&gt;0,J54-E78,0)</f>
        <v>0</v>
      </c>
    </row>
    <row r="56" spans="2:11" x14ac:dyDescent="0.25">
      <c r="B56" s="150"/>
      <c r="C56" s="229"/>
      <c r="D56" s="229"/>
      <c r="E56" s="42"/>
      <c r="G56" s="1"/>
      <c r="H56" s="1"/>
      <c r="I56" s="1"/>
      <c r="J56" s="1"/>
    </row>
    <row r="57" spans="2:11" x14ac:dyDescent="0.2">
      <c r="B57" s="150"/>
      <c r="C57" s="229"/>
      <c r="D57" s="229"/>
      <c r="E57" s="42"/>
      <c r="G57" s="652" t="str">
        <f>CONCATENATE("Projected Carryover Into ",E1+1,"")</f>
        <v>Projected Carryover Into 2025</v>
      </c>
      <c r="H57" s="660"/>
      <c r="I57" s="660"/>
      <c r="J57" s="659"/>
    </row>
    <row r="58" spans="2:11" x14ac:dyDescent="0.25">
      <c r="B58" s="150"/>
      <c r="C58" s="229"/>
      <c r="D58" s="229"/>
      <c r="E58" s="42"/>
      <c r="G58" s="321"/>
      <c r="H58" s="293"/>
      <c r="I58" s="293"/>
      <c r="J58" s="316"/>
    </row>
    <row r="59" spans="2:11" x14ac:dyDescent="0.25">
      <c r="B59" s="142" t="s">
        <v>87</v>
      </c>
      <c r="C59" s="229"/>
      <c r="D59" s="229"/>
      <c r="E59" s="42"/>
      <c r="G59" s="312">
        <f>D75</f>
        <v>195</v>
      </c>
      <c r="H59" s="310" t="str">
        <f>CONCATENATE("",E1-1," Ending Cash Balance (est.)")</f>
        <v>2023 Ending Cash Balance (est.)</v>
      </c>
      <c r="I59" s="313"/>
      <c r="J59" s="316"/>
    </row>
    <row r="60" spans="2:11" x14ac:dyDescent="0.25">
      <c r="B60" s="143" t="s">
        <v>40</v>
      </c>
      <c r="C60" s="229">
        <v>-843</v>
      </c>
      <c r="D60" s="229">
        <v>-728</v>
      </c>
      <c r="E60" s="106">
        <f>'NR Rebate'!E10*-1</f>
        <v>-909</v>
      </c>
      <c r="G60" s="312">
        <f>E63</f>
        <v>1765</v>
      </c>
      <c r="H60" s="294" t="str">
        <f>CONCATENATE("",E1," Non-AV Receipts (est.)")</f>
        <v>2024 Non-AV Receipts (est.)</v>
      </c>
      <c r="I60" s="313"/>
      <c r="J60" s="316"/>
    </row>
    <row r="61" spans="2:11" x14ac:dyDescent="0.25">
      <c r="B61" s="143" t="s">
        <v>38</v>
      </c>
      <c r="C61" s="229"/>
      <c r="D61" s="229"/>
      <c r="E61" s="42"/>
      <c r="G61" s="314">
        <f>IF(E80&gt;0,E79,E81)</f>
        <v>33040</v>
      </c>
      <c r="H61" s="294" t="str">
        <f>CONCATENATE("",E1," Ad Valorem Tax (est.)")</f>
        <v>2024 Ad Valorem Tax (est.)</v>
      </c>
      <c r="I61" s="313"/>
      <c r="J61" s="316"/>
      <c r="K61" s="308" t="str">
        <f>IF(G61=E81,"","Note: Does not include Delinquent Taxes")</f>
        <v>Note: Does not include Delinquent Taxes</v>
      </c>
    </row>
    <row r="62" spans="2:11" x14ac:dyDescent="0.25">
      <c r="B62" s="143" t="s">
        <v>278</v>
      </c>
      <c r="C62" s="230" t="str">
        <f>IF(C63*0.1&lt;C61,"Exceed 10% Rule","")</f>
        <v/>
      </c>
      <c r="D62" s="230" t="str">
        <f>IF(D63*0.1&lt;D61,"Exceed 10% Rule","")</f>
        <v/>
      </c>
      <c r="E62" s="170" t="str">
        <f>IF(E63*0.1+E81&lt;E61,"Exceed 10% Rule","")</f>
        <v/>
      </c>
      <c r="G62" s="322">
        <f>SUM(G59:G61)</f>
        <v>35000</v>
      </c>
      <c r="H62" s="294" t="str">
        <f>CONCATENATE("Total ",E1," Resources Available")</f>
        <v>Total 2024 Resources Available</v>
      </c>
      <c r="I62" s="323"/>
      <c r="J62" s="316"/>
    </row>
    <row r="63" spans="2:11" x14ac:dyDescent="0.25">
      <c r="B63" s="145" t="s">
        <v>88</v>
      </c>
      <c r="C63" s="457">
        <f>SUM(C48:C61)</f>
        <v>35007</v>
      </c>
      <c r="D63" s="457">
        <f>SUM(D48:D61)</f>
        <v>34551</v>
      </c>
      <c r="E63" s="457">
        <f>SUM(E48:E61)</f>
        <v>1765</v>
      </c>
      <c r="G63" s="324"/>
      <c r="H63" s="325"/>
      <c r="I63" s="293"/>
      <c r="J63" s="316"/>
    </row>
    <row r="64" spans="2:11" x14ac:dyDescent="0.25">
      <c r="B64" s="145" t="s">
        <v>89</v>
      </c>
      <c r="C64" s="457">
        <f>C46+C63</f>
        <v>35644</v>
      </c>
      <c r="D64" s="457">
        <f>D46+D63</f>
        <v>35195</v>
      </c>
      <c r="E64" s="457">
        <f>E46+E63</f>
        <v>1960</v>
      </c>
      <c r="G64" s="326">
        <f>ROUND(C74*0.05+C74,0)</f>
        <v>36750</v>
      </c>
      <c r="H64" s="294" t="str">
        <f>CONCATENATE("Less ",E1-2," Expenditures + 5%")</f>
        <v>Less 2022 Expenditures + 5%</v>
      </c>
      <c r="I64" s="323"/>
      <c r="J64" s="316"/>
    </row>
    <row r="65" spans="2:10" x14ac:dyDescent="0.25">
      <c r="B65" s="60" t="s">
        <v>92</v>
      </c>
      <c r="C65" s="143"/>
      <c r="D65" s="143"/>
      <c r="E65" s="38"/>
      <c r="G65" s="327">
        <f>G62-G64</f>
        <v>-1750</v>
      </c>
      <c r="H65" s="318" t="str">
        <f>CONCATENATE("Projected ",E1+1," carryover (est.)")</f>
        <v>Projected 2025 carryover (est.)</v>
      </c>
      <c r="I65" s="328"/>
      <c r="J65" s="329"/>
    </row>
    <row r="66" spans="2:10" x14ac:dyDescent="0.25">
      <c r="B66" s="150" t="s">
        <v>1004</v>
      </c>
      <c r="C66" s="229">
        <v>35000</v>
      </c>
      <c r="D66" s="229">
        <v>35000</v>
      </c>
      <c r="E66" s="42">
        <v>35000</v>
      </c>
      <c r="G66" s="1"/>
      <c r="H66" s="1"/>
      <c r="I66" s="1"/>
      <c r="J66" s="1"/>
    </row>
    <row r="67" spans="2:10" x14ac:dyDescent="0.2">
      <c r="B67" s="150"/>
      <c r="C67" s="229"/>
      <c r="D67" s="229"/>
      <c r="E67" s="42"/>
      <c r="G67" s="633" t="s">
        <v>543</v>
      </c>
      <c r="H67" s="634"/>
      <c r="I67" s="634"/>
      <c r="J67" s="635"/>
    </row>
    <row r="68" spans="2:10" x14ac:dyDescent="0.2">
      <c r="B68" s="150"/>
      <c r="C68" s="229"/>
      <c r="D68" s="229"/>
      <c r="E68" s="42"/>
      <c r="G68" s="636"/>
      <c r="H68" s="637"/>
      <c r="I68" s="637"/>
      <c r="J68" s="638"/>
    </row>
    <row r="69" spans="2:10" x14ac:dyDescent="0.2">
      <c r="B69" s="150"/>
      <c r="C69" s="229"/>
      <c r="D69" s="229"/>
      <c r="E69" s="42"/>
      <c r="G69" s="504">
        <f>'Budget Hearing Notice'!H20</f>
        <v>0.21</v>
      </c>
      <c r="H69" s="310" t="str">
        <f>CONCATENATE("",E1," Estimated Fund Mill Rate")</f>
        <v>2024 Estimated Fund Mill Rate</v>
      </c>
      <c r="I69" s="505"/>
      <c r="J69" s="506"/>
    </row>
    <row r="70" spans="2:10" x14ac:dyDescent="0.2">
      <c r="B70" s="150"/>
      <c r="C70" s="229"/>
      <c r="D70" s="229"/>
      <c r="E70" s="42"/>
      <c r="G70" s="507">
        <f>'Budget Hearing Notice'!E20</f>
        <v>0.20599999999999999</v>
      </c>
      <c r="H70" s="310" t="str">
        <f>CONCATENATE("",E1-1," Fund Mill Rate")</f>
        <v>2023 Fund Mill Rate</v>
      </c>
      <c r="I70" s="505"/>
      <c r="J70" s="506"/>
    </row>
    <row r="71" spans="2:10" x14ac:dyDescent="0.2">
      <c r="B71" s="143" t="str">
        <f>CONCATENATE("Cash Forward (",E1," column)")</f>
        <v>Cash Forward (2024 column)</v>
      </c>
      <c r="C71" s="229"/>
      <c r="D71" s="229"/>
      <c r="E71" s="42"/>
      <c r="G71" s="508">
        <f>'Budget Hearing Notice'!H62</f>
        <v>36.917000000000002</v>
      </c>
      <c r="H71" s="509" t="s">
        <v>544</v>
      </c>
      <c r="I71" s="505"/>
      <c r="J71" s="506"/>
    </row>
    <row r="72" spans="2:10" x14ac:dyDescent="0.2">
      <c r="B72" s="143" t="s">
        <v>38</v>
      </c>
      <c r="C72" s="229"/>
      <c r="D72" s="229"/>
      <c r="E72" s="42"/>
      <c r="G72" s="504">
        <f>'Budget Hearing Notice'!H61</f>
        <v>36.917000000000002</v>
      </c>
      <c r="H72" s="310" t="str">
        <f>CONCATENATE(E1," Estimated Total Mill Rate")</f>
        <v>2024 Estimated Total Mill Rate</v>
      </c>
      <c r="I72" s="505"/>
      <c r="J72" s="506"/>
    </row>
    <row r="73" spans="2:10" x14ac:dyDescent="0.2">
      <c r="B73" s="143" t="s">
        <v>277</v>
      </c>
      <c r="C73" s="230" t="str">
        <f>IF(C74*0.1&lt;C72,"Exceed 10% Rule","")</f>
        <v/>
      </c>
      <c r="D73" s="230" t="str">
        <f>IF(D74*0.1&lt;D72,"Exceed 10% Rule","")</f>
        <v/>
      </c>
      <c r="E73" s="170" t="str">
        <f>IF(E74*0.1&lt;E72,"Exceed 10% Rule","")</f>
        <v/>
      </c>
      <c r="G73" s="510">
        <f>'Budget Hearing Notice'!E61</f>
        <v>36.946999999999996</v>
      </c>
      <c r="H73" s="310" t="str">
        <f>CONCATENATE(E1-1," Total Mill Rate")</f>
        <v>2023 Total Mill Rate</v>
      </c>
      <c r="I73" s="505"/>
      <c r="J73" s="506"/>
    </row>
    <row r="74" spans="2:10" x14ac:dyDescent="0.2">
      <c r="B74" s="145" t="s">
        <v>93</v>
      </c>
      <c r="C74" s="457">
        <f>SUM(C66:C72)</f>
        <v>35000</v>
      </c>
      <c r="D74" s="457">
        <f>SUM(D66:D72)</f>
        <v>35000</v>
      </c>
      <c r="E74" s="457">
        <f>SUM(E66:E72)</f>
        <v>35000</v>
      </c>
      <c r="G74" s="321"/>
      <c r="H74" s="293"/>
      <c r="I74" s="293"/>
      <c r="J74" s="323"/>
    </row>
    <row r="75" spans="2:10" x14ac:dyDescent="0.2">
      <c r="B75" s="60" t="s">
        <v>183</v>
      </c>
      <c r="C75" s="106">
        <f>C64-C74</f>
        <v>644</v>
      </c>
      <c r="D75" s="106">
        <f>D64-D74</f>
        <v>195</v>
      </c>
      <c r="E75" s="165" t="s">
        <v>66</v>
      </c>
      <c r="G75" s="639" t="s">
        <v>545</v>
      </c>
      <c r="H75" s="640"/>
      <c r="I75" s="640"/>
      <c r="J75" s="643" t="str">
        <f>IF(G72&gt;G71, "Yes", "No")</f>
        <v>No</v>
      </c>
    </row>
    <row r="76" spans="2:10" x14ac:dyDescent="0.2">
      <c r="B76" s="135" t="str">
        <f>CONCATENATE("",E1-2,"/",E1-1,"/",E1," Budget Authority Amount:")</f>
        <v>2022/2023/2024 Budget Authority Amount:</v>
      </c>
      <c r="C76" s="167">
        <f>inputOth!B39</f>
        <v>35717</v>
      </c>
      <c r="D76" s="167">
        <f>inputPrYr!D21</f>
        <v>35000</v>
      </c>
      <c r="E76" s="106">
        <f>E74</f>
        <v>35000</v>
      </c>
      <c r="G76" s="641"/>
      <c r="H76" s="642"/>
      <c r="I76" s="642"/>
      <c r="J76" s="644"/>
    </row>
    <row r="77" spans="2:10" x14ac:dyDescent="0.2">
      <c r="B77" s="125"/>
      <c r="C77" s="647" t="s">
        <v>281</v>
      </c>
      <c r="D77" s="648"/>
      <c r="E77" s="42"/>
      <c r="G77" s="645" t="str">
        <f>IF(J75="Yes", "Follow procedure prescribed by KSA 79-2988 to exceed the Revenue Neutral Rate.", " ")</f>
        <v xml:space="preserve"> </v>
      </c>
      <c r="H77" s="645"/>
      <c r="I77" s="645"/>
      <c r="J77" s="645"/>
    </row>
    <row r="78" spans="2:10" x14ac:dyDescent="0.2">
      <c r="B78" s="263" t="str">
        <f>CONCATENATE(C99,"     ",D99)</f>
        <v xml:space="preserve">     </v>
      </c>
      <c r="C78" s="649" t="s">
        <v>282</v>
      </c>
      <c r="D78" s="650"/>
      <c r="E78" s="106">
        <f>E74+E77</f>
        <v>35000</v>
      </c>
      <c r="G78" s="646"/>
      <c r="H78" s="646"/>
      <c r="I78" s="646"/>
      <c r="J78" s="646"/>
    </row>
    <row r="79" spans="2:10" x14ac:dyDescent="0.2">
      <c r="B79" s="263" t="str">
        <f>CONCATENATE(C100,"     ",D100)</f>
        <v xml:space="preserve">     </v>
      </c>
      <c r="C79" s="152"/>
      <c r="D79" s="90" t="s">
        <v>94</v>
      </c>
      <c r="E79" s="106">
        <f>IF(E78-E64&gt;0,E78-E64,0)</f>
        <v>33040</v>
      </c>
      <c r="F79" s="151"/>
      <c r="G79" s="646"/>
      <c r="H79" s="646"/>
      <c r="I79" s="646"/>
      <c r="J79" s="646"/>
    </row>
    <row r="80" spans="2:10" x14ac:dyDescent="0.2">
      <c r="B80" s="90"/>
      <c r="C80" s="262" t="s">
        <v>283</v>
      </c>
      <c r="D80" s="291">
        <f>inputOth!$E$28</f>
        <v>5.4000000000000003E-3</v>
      </c>
      <c r="E80" s="106">
        <f>ROUND(IF(D80&gt;0,($E$79*D80),0),0)</f>
        <v>178</v>
      </c>
      <c r="F80" s="238" t="str">
        <f>IF(E74/0.95-E74&lt;E77,"Exceeds 5%","")</f>
        <v/>
      </c>
    </row>
    <row r="81" spans="2:5" x14ac:dyDescent="0.2">
      <c r="B81" s="26"/>
      <c r="C81" s="631" t="str">
        <f>CONCATENATE("Amount of  ",$E$1-1," Ad Valorem Tax")</f>
        <v>Amount of  2023 Ad Valorem Tax</v>
      </c>
      <c r="D81" s="651"/>
      <c r="E81" s="106">
        <f>E79+E80</f>
        <v>33218</v>
      </c>
    </row>
    <row r="82" spans="2:5" x14ac:dyDescent="0.2">
      <c r="B82" s="26"/>
      <c r="C82" s="125"/>
      <c r="D82" s="26"/>
      <c r="E82" s="125"/>
    </row>
    <row r="83" spans="2:5" x14ac:dyDescent="0.2">
      <c r="B83" s="417" t="s">
        <v>341</v>
      </c>
      <c r="C83" s="396"/>
      <c r="D83" s="341"/>
      <c r="E83" s="403"/>
    </row>
    <row r="84" spans="2:5" x14ac:dyDescent="0.2">
      <c r="B84" s="126"/>
      <c r="C84" s="125"/>
      <c r="D84" s="26"/>
      <c r="E84" s="404"/>
    </row>
    <row r="85" spans="2:5" x14ac:dyDescent="0.2">
      <c r="B85" s="397"/>
      <c r="C85" s="402"/>
      <c r="D85" s="44"/>
      <c r="E85" s="405"/>
    </row>
    <row r="86" spans="2:5" x14ac:dyDescent="0.2">
      <c r="B86" s="26"/>
      <c r="C86" s="125"/>
      <c r="D86" s="26"/>
      <c r="E86" s="125"/>
    </row>
    <row r="87" spans="2:5" x14ac:dyDescent="0.2">
      <c r="B87" s="125" t="s">
        <v>133</v>
      </c>
      <c r="C87" s="362">
        <v>8</v>
      </c>
      <c r="D87" s="26"/>
      <c r="E87" s="26"/>
    </row>
    <row r="95" spans="2:5" hidden="1" x14ac:dyDescent="0.2"/>
    <row r="96" spans="2:5" hidden="1" x14ac:dyDescent="0.2"/>
    <row r="97" spans="3:4" hidden="1" x14ac:dyDescent="0.2">
      <c r="C97" s="23" t="str">
        <f>IF(C35&gt;C37,"See Tab A","")</f>
        <v/>
      </c>
      <c r="D97" s="23" t="str">
        <f>IF(D35&gt;D37,"See Tab C","")</f>
        <v/>
      </c>
    </row>
    <row r="98" spans="3:4" hidden="1" x14ac:dyDescent="0.2">
      <c r="C98" s="23" t="str">
        <f>IF(C36&lt;0,"See Tab B","")</f>
        <v/>
      </c>
      <c r="D98" s="23" t="str">
        <f>IF(D36&lt;0,"See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G67:J68"/>
    <mergeCell ref="C77:D77"/>
    <mergeCell ref="C78:D78"/>
    <mergeCell ref="C81:D81"/>
    <mergeCell ref="C42:D42"/>
    <mergeCell ref="G75:I76"/>
    <mergeCell ref="J75:J76"/>
    <mergeCell ref="G77:J79"/>
    <mergeCell ref="G10:J10"/>
    <mergeCell ref="G17:J17"/>
    <mergeCell ref="G50:J50"/>
    <mergeCell ref="G57:J57"/>
    <mergeCell ref="C38:D38"/>
    <mergeCell ref="C39:D39"/>
    <mergeCell ref="G27:J28"/>
    <mergeCell ref="G35:I36"/>
    <mergeCell ref="J35:J36"/>
    <mergeCell ref="G37:J39"/>
  </mergeCells>
  <phoneticPr fontId="0" type="noConversion"/>
  <conditionalFormatting sqref="E72">
    <cfRule type="cellIs" dxfId="367" priority="14" stopIfTrue="1" operator="greaterThan">
      <formula>$E$74*0.1</formula>
    </cfRule>
  </conditionalFormatting>
  <conditionalFormatting sqref="E77">
    <cfRule type="cellIs" dxfId="366" priority="15" stopIfTrue="1" operator="greaterThan">
      <formula>$E$74/0.95-$E$74</formula>
    </cfRule>
  </conditionalFormatting>
  <conditionalFormatting sqref="E38">
    <cfRule type="cellIs" dxfId="365" priority="16" stopIfTrue="1" operator="greaterThan">
      <formula>$E$35/0.95-$E$35</formula>
    </cfRule>
  </conditionalFormatting>
  <conditionalFormatting sqref="E33">
    <cfRule type="cellIs" dxfId="364" priority="17" stopIfTrue="1" operator="greaterThan">
      <formula>$E$35*0.1</formula>
    </cfRule>
  </conditionalFormatting>
  <conditionalFormatting sqref="C72">
    <cfRule type="cellIs" dxfId="363" priority="23" stopIfTrue="1" operator="greaterThan">
      <formula>$C$74*0.1</formula>
    </cfRule>
  </conditionalFormatting>
  <conditionalFormatting sqref="D72">
    <cfRule type="cellIs" dxfId="362" priority="24" stopIfTrue="1" operator="greaterThan">
      <formula>$D$74*0.1</formula>
    </cfRule>
  </conditionalFormatting>
  <conditionalFormatting sqref="E61">
    <cfRule type="cellIs" dxfId="361" priority="25" stopIfTrue="1" operator="greaterThan">
      <formula>$E$63*0.1+E81</formula>
    </cfRule>
  </conditionalFormatting>
  <conditionalFormatting sqref="C61">
    <cfRule type="cellIs" dxfId="360" priority="26" stopIfTrue="1" operator="greaterThan">
      <formula>$C$63*0.1</formula>
    </cfRule>
  </conditionalFormatting>
  <conditionalFormatting sqref="D61">
    <cfRule type="cellIs" dxfId="359" priority="27" stopIfTrue="1" operator="greaterThan">
      <formula>$D$63*0.1</formula>
    </cfRule>
  </conditionalFormatting>
  <conditionalFormatting sqref="C33">
    <cfRule type="cellIs" dxfId="358" priority="28" stopIfTrue="1" operator="greaterThan">
      <formula>$C$35*0.1</formula>
    </cfRule>
  </conditionalFormatting>
  <conditionalFormatting sqref="D33">
    <cfRule type="cellIs" dxfId="357" priority="29" stopIfTrue="1" operator="greaterThan">
      <formula>$D$35*0.1</formula>
    </cfRule>
  </conditionalFormatting>
  <conditionalFormatting sqref="E21">
    <cfRule type="cellIs" dxfId="356" priority="30" stopIfTrue="1" operator="greaterThan">
      <formula>$E$23*0.1+E42</formula>
    </cfRule>
  </conditionalFormatting>
  <conditionalFormatting sqref="C21">
    <cfRule type="cellIs" dxfId="355" priority="31" stopIfTrue="1" operator="greaterThan">
      <formula>$C$23*0.1</formula>
    </cfRule>
  </conditionalFormatting>
  <conditionalFormatting sqref="D21">
    <cfRule type="cellIs" dxfId="354" priority="32" stopIfTrue="1" operator="greaterThan">
      <formula>$D$23*0.1</formula>
    </cfRule>
  </conditionalFormatting>
  <conditionalFormatting sqref="J35">
    <cfRule type="containsText" dxfId="353" priority="10" operator="containsText" text="Yes">
      <formula>NOT(ISERROR(SEARCH("Yes",J35)))</formula>
    </cfRule>
  </conditionalFormatting>
  <conditionalFormatting sqref="J75">
    <cfRule type="containsText" dxfId="352" priority="9" operator="containsText" text="Yes">
      <formula>NOT(ISERROR(SEARCH("Yes",J75)))</formula>
    </cfRule>
  </conditionalFormatting>
  <conditionalFormatting sqref="C35">
    <cfRule type="cellIs" dxfId="351" priority="5" stopIfTrue="1" operator="greaterThan">
      <formula>$C$37</formula>
    </cfRule>
  </conditionalFormatting>
  <conditionalFormatting sqref="D35">
    <cfRule type="cellIs" dxfId="350" priority="6" stopIfTrue="1" operator="greaterThan">
      <formula>$D$37</formula>
    </cfRule>
  </conditionalFormatting>
  <conditionalFormatting sqref="C74">
    <cfRule type="cellIs" dxfId="349" priority="7" stopIfTrue="1" operator="greaterThan">
      <formula>$C$76</formula>
    </cfRule>
  </conditionalFormatting>
  <conditionalFormatting sqref="D74">
    <cfRule type="cellIs" dxfId="348" priority="8" stopIfTrue="1" operator="greaterThan">
      <formula>$D$76</formula>
    </cfRule>
  </conditionalFormatting>
  <conditionalFormatting sqref="C36">
    <cfRule type="cellIs" dxfId="347" priority="1" stopIfTrue="1" operator="lessThan">
      <formula>0</formula>
    </cfRule>
  </conditionalFormatting>
  <conditionalFormatting sqref="D36">
    <cfRule type="cellIs" dxfId="346" priority="2" stopIfTrue="1" operator="lessThan">
      <formula>0</formula>
    </cfRule>
  </conditionalFormatting>
  <conditionalFormatting sqref="C75">
    <cfRule type="cellIs" dxfId="345" priority="3" stopIfTrue="1" operator="lessThan">
      <formula>0</formula>
    </cfRule>
  </conditionalFormatting>
  <conditionalFormatting sqref="D75">
    <cfRule type="cellIs" dxfId="344" priority="4" stopIfTrue="1" operator="lessThan">
      <formula>0</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B1:K102"/>
  <sheetViews>
    <sheetView zoomScaleNormal="100"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6"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inputPrYr!B22</f>
        <v>Appraiser</v>
      </c>
      <c r="C5" s="231" t="str">
        <f>CONCATENATE("Actual for ",E1-2,"")</f>
        <v>Actual for 2022</v>
      </c>
      <c r="D5" s="231" t="str">
        <f>CONCATENATE("Estimate for ",E1-1,"")</f>
        <v>Estimate for 2023</v>
      </c>
      <c r="E5" s="136" t="str">
        <f>CONCATENATE("Year for ",E1,"")</f>
        <v>Year for 2024</v>
      </c>
    </row>
    <row r="6" spans="2:10" x14ac:dyDescent="0.2">
      <c r="B6" s="60" t="s">
        <v>182</v>
      </c>
      <c r="C6" s="229">
        <v>134143</v>
      </c>
      <c r="D6" s="232">
        <f>C36</f>
        <v>111588</v>
      </c>
      <c r="E6" s="106">
        <f>D36</f>
        <v>80673</v>
      </c>
    </row>
    <row r="7" spans="2:10" x14ac:dyDescent="0.2">
      <c r="B7" s="128" t="s">
        <v>184</v>
      </c>
      <c r="C7" s="139"/>
      <c r="D7" s="139"/>
      <c r="E7" s="50"/>
    </row>
    <row r="8" spans="2:10" x14ac:dyDescent="0.2">
      <c r="B8" s="60" t="s">
        <v>81</v>
      </c>
      <c r="C8" s="229">
        <v>214587</v>
      </c>
      <c r="D8" s="232">
        <f>IF(inputPrYr!H22&gt;0,inputPrYr!H22,inputPrYr!E22)</f>
        <v>296285</v>
      </c>
      <c r="E8" s="165" t="s">
        <v>66</v>
      </c>
    </row>
    <row r="9" spans="2:10" x14ac:dyDescent="0.2">
      <c r="B9" s="60" t="s">
        <v>82</v>
      </c>
      <c r="C9" s="229">
        <v>2424</v>
      </c>
      <c r="D9" s="229">
        <v>2981</v>
      </c>
      <c r="E9" s="42"/>
    </row>
    <row r="10" spans="2:10" x14ac:dyDescent="0.2">
      <c r="B10" s="60" t="s">
        <v>83</v>
      </c>
      <c r="C10" s="229">
        <v>13966</v>
      </c>
      <c r="D10" s="229">
        <v>12592</v>
      </c>
      <c r="E10" s="106">
        <f>Mvalloc!D12</f>
        <v>16852</v>
      </c>
      <c r="G10" s="652" t="str">
        <f>CONCATENATE("Desired Carryover Into ",E1+1,"")</f>
        <v>Desired Carryover Into 2025</v>
      </c>
      <c r="H10" s="653"/>
      <c r="I10" s="653"/>
      <c r="J10" s="654"/>
    </row>
    <row r="11" spans="2:10" x14ac:dyDescent="0.2">
      <c r="B11" s="60" t="s">
        <v>84</v>
      </c>
      <c r="C11" s="229">
        <v>315</v>
      </c>
      <c r="D11" s="229">
        <v>292</v>
      </c>
      <c r="E11" s="106">
        <f>Mvalloc!E12</f>
        <v>380</v>
      </c>
      <c r="G11" s="292"/>
      <c r="H11" s="293"/>
      <c r="I11" s="294"/>
      <c r="J11" s="295"/>
    </row>
    <row r="12" spans="2:10" x14ac:dyDescent="0.2">
      <c r="B12" s="139" t="s">
        <v>163</v>
      </c>
      <c r="C12" s="229"/>
      <c r="D12" s="229">
        <v>2266</v>
      </c>
      <c r="E12" s="106">
        <f>Mvalloc!F12</f>
        <v>3166</v>
      </c>
      <c r="G12" s="296" t="s">
        <v>284</v>
      </c>
      <c r="H12" s="294"/>
      <c r="I12" s="294"/>
      <c r="J12" s="297">
        <v>0</v>
      </c>
    </row>
    <row r="13" spans="2:10" x14ac:dyDescent="0.2">
      <c r="B13" s="137" t="s">
        <v>335</v>
      </c>
      <c r="C13" s="229">
        <v>817</v>
      </c>
      <c r="D13" s="229">
        <v>737</v>
      </c>
      <c r="E13" s="106">
        <f>Mvalloc!G12</f>
        <v>979</v>
      </c>
      <c r="G13" s="292" t="s">
        <v>285</v>
      </c>
      <c r="H13" s="293"/>
      <c r="I13" s="293"/>
      <c r="J13" s="298" t="str">
        <f>IF(J12=0,"",ROUND((J12+E42-G25)/inputOth!E6*1000,3)-G30)</f>
        <v/>
      </c>
    </row>
    <row r="14" spans="2:10" x14ac:dyDescent="0.2">
      <c r="B14" s="137" t="s">
        <v>336</v>
      </c>
      <c r="C14" s="229"/>
      <c r="D14" s="229">
        <v>150</v>
      </c>
      <c r="E14" s="106">
        <f>Mvalloc!H12</f>
        <v>198</v>
      </c>
      <c r="G14" s="299" t="str">
        <f>CONCATENATE("",E1," Tot Exp/Non-Appr Must Be:")</f>
        <v>2024 Tot Exp/Non-Appr Must Be:</v>
      </c>
      <c r="H14" s="300"/>
      <c r="I14" s="301"/>
      <c r="J14" s="302">
        <f>IF(J12&gt;0,IF(E39&lt;E24,IF(J12=G25,E39,((J12-G25)*(1-D41))+E24),E39+(J12-G25)),0)</f>
        <v>0</v>
      </c>
    </row>
    <row r="15" spans="2:10" x14ac:dyDescent="0.2">
      <c r="B15" s="150"/>
      <c r="C15" s="229"/>
      <c r="D15" s="229"/>
      <c r="E15" s="42"/>
      <c r="G15" s="303" t="s">
        <v>305</v>
      </c>
      <c r="H15" s="304"/>
      <c r="I15" s="304"/>
      <c r="J15" s="305">
        <f>IF(J12&gt;0,J14-E39,0)</f>
        <v>0</v>
      </c>
    </row>
    <row r="16" spans="2:10" x14ac:dyDescent="0.25">
      <c r="B16" s="150"/>
      <c r="C16" s="229"/>
      <c r="D16" s="229"/>
      <c r="E16" s="42"/>
      <c r="G16" s="1"/>
      <c r="H16" s="1"/>
      <c r="I16" s="1"/>
      <c r="J16" s="1"/>
    </row>
    <row r="17" spans="2:11" x14ac:dyDescent="0.2">
      <c r="B17" s="150"/>
      <c r="C17" s="229"/>
      <c r="D17" s="229"/>
      <c r="E17" s="42"/>
      <c r="G17" s="652" t="str">
        <f>CONCATENATE("Projected Carryover Into ",E1+1,"")</f>
        <v>Projected Carryover Into 2025</v>
      </c>
      <c r="H17" s="658"/>
      <c r="I17" s="658"/>
      <c r="J17" s="659"/>
    </row>
    <row r="18" spans="2:11" x14ac:dyDescent="0.2">
      <c r="B18" s="150"/>
      <c r="C18" s="229"/>
      <c r="D18" s="229"/>
      <c r="E18" s="42"/>
      <c r="G18" s="292"/>
      <c r="H18" s="294"/>
      <c r="I18" s="294"/>
      <c r="J18" s="311"/>
    </row>
    <row r="19" spans="2:11" x14ac:dyDescent="0.2">
      <c r="B19" s="142" t="s">
        <v>87</v>
      </c>
      <c r="C19" s="229"/>
      <c r="D19" s="229"/>
      <c r="E19" s="42"/>
      <c r="G19" s="312">
        <f>D36</f>
        <v>80673</v>
      </c>
      <c r="H19" s="310" t="str">
        <f>CONCATENATE("",E1-1," Ending Cash Balance (est.)")</f>
        <v>2023 Ending Cash Balance (est.)</v>
      </c>
      <c r="I19" s="313"/>
      <c r="J19" s="311"/>
    </row>
    <row r="20" spans="2:11" x14ac:dyDescent="0.2">
      <c r="B20" s="143" t="s">
        <v>40</v>
      </c>
      <c r="C20" s="229">
        <v>-5379</v>
      </c>
      <c r="D20" s="229">
        <v>-5248</v>
      </c>
      <c r="E20" s="106">
        <f>'NR Rebate'!E11*-1</f>
        <v>-8108</v>
      </c>
      <c r="G20" s="312">
        <f>E23</f>
        <v>13467</v>
      </c>
      <c r="H20" s="294" t="str">
        <f>CONCATENATE("",E1," Non-AV Receipts (est.)")</f>
        <v>2024 Non-AV Receipts (est.)</v>
      </c>
      <c r="I20" s="313"/>
      <c r="J20" s="311"/>
    </row>
    <row r="21" spans="2:11" x14ac:dyDescent="0.2">
      <c r="B21" s="143" t="s">
        <v>38</v>
      </c>
      <c r="C21" s="229">
        <v>3778</v>
      </c>
      <c r="D21" s="229"/>
      <c r="E21" s="42"/>
      <c r="G21" s="314">
        <f>IF(E41&gt;0,E40,E42)</f>
        <v>263184</v>
      </c>
      <c r="H21" s="294" t="str">
        <f>CONCATENATE("",E1," Ad Valorem Tax (est.)")</f>
        <v>2024 Ad Valorem Tax (est.)</v>
      </c>
      <c r="I21" s="313"/>
      <c r="J21" s="311"/>
      <c r="K21" s="308" t="str">
        <f>IF(G21=E42,"","Note: Does not include Delinquent Taxes")</f>
        <v>Note: Does not include Delinquent Taxes</v>
      </c>
    </row>
    <row r="22" spans="2:11" x14ac:dyDescent="0.2">
      <c r="B22" s="143" t="s">
        <v>278</v>
      </c>
      <c r="C22" s="230" t="str">
        <f>IF(C23*0.1&lt;C21,"Exceed 10% Rule","")</f>
        <v/>
      </c>
      <c r="D22" s="230" t="str">
        <f>IF(D23*0.1&lt;D21,"Exceed 10% Rule","")</f>
        <v/>
      </c>
      <c r="E22" s="170" t="str">
        <f>IF(E23*0.1+E42&lt;E21,"Exceed 10% Rule","")</f>
        <v/>
      </c>
      <c r="G22" s="312">
        <f>SUM(G19:G21)</f>
        <v>357324</v>
      </c>
      <c r="H22" s="294" t="str">
        <f>CONCATENATE("Total ",E1," Resources Available")</f>
        <v>Total 2024 Resources Available</v>
      </c>
      <c r="I22" s="313"/>
      <c r="J22" s="311"/>
    </row>
    <row r="23" spans="2:11" x14ac:dyDescent="0.2">
      <c r="B23" s="145" t="s">
        <v>88</v>
      </c>
      <c r="C23" s="457">
        <f>SUM(C8:C21)</f>
        <v>230508</v>
      </c>
      <c r="D23" s="457">
        <f>SUM(D8:D21)</f>
        <v>310055</v>
      </c>
      <c r="E23" s="457">
        <f>SUM(E8:E21)</f>
        <v>13467</v>
      </c>
      <c r="G23" s="315"/>
      <c r="H23" s="294"/>
      <c r="I23" s="294"/>
      <c r="J23" s="311"/>
    </row>
    <row r="24" spans="2:11" x14ac:dyDescent="0.25">
      <c r="B24" s="145" t="s">
        <v>89</v>
      </c>
      <c r="C24" s="457">
        <f>C6+C23</f>
        <v>364651</v>
      </c>
      <c r="D24" s="457">
        <f>D6+D23</f>
        <v>421643</v>
      </c>
      <c r="E24" s="457">
        <f>E6+E23</f>
        <v>94140</v>
      </c>
      <c r="G24" s="314">
        <f>ROUND(C35*0.05+C35,0)</f>
        <v>265716</v>
      </c>
      <c r="H24" s="294" t="str">
        <f>CONCATENATE("Less ",E1-2," Expenditures + 5%")</f>
        <v>Less 2022 Expenditures + 5%</v>
      </c>
      <c r="I24" s="313"/>
      <c r="J24" s="316"/>
    </row>
    <row r="25" spans="2:11" ht="15.75" customHeight="1" x14ac:dyDescent="0.2">
      <c r="B25" s="60" t="s">
        <v>92</v>
      </c>
      <c r="C25" s="143"/>
      <c r="D25" s="143"/>
      <c r="E25" s="38"/>
      <c r="G25" s="317">
        <f>G22-G24</f>
        <v>91608</v>
      </c>
      <c r="H25" s="318" t="str">
        <f>CONCATENATE("Projected ",E1+1," carryover (est.)")</f>
        <v>Projected 2025 carryover (est.)</v>
      </c>
      <c r="I25" s="319"/>
      <c r="J25" s="320"/>
    </row>
    <row r="26" spans="2:11" x14ac:dyDescent="0.25">
      <c r="B26" s="150" t="s">
        <v>1005</v>
      </c>
      <c r="C26" s="229">
        <v>230479</v>
      </c>
      <c r="D26" s="229">
        <v>278470</v>
      </c>
      <c r="E26" s="42">
        <v>294824</v>
      </c>
      <c r="G26" s="1"/>
      <c r="H26" s="1"/>
      <c r="I26" s="1"/>
      <c r="J26" s="1"/>
    </row>
    <row r="27" spans="2:11" x14ac:dyDescent="0.2">
      <c r="B27" s="150" t="s">
        <v>1006</v>
      </c>
      <c r="C27" s="229">
        <v>18828</v>
      </c>
      <c r="D27" s="229">
        <v>40000</v>
      </c>
      <c r="E27" s="42">
        <v>40000</v>
      </c>
      <c r="G27" s="633" t="s">
        <v>543</v>
      </c>
      <c r="H27" s="634"/>
      <c r="I27" s="634"/>
      <c r="J27" s="635"/>
    </row>
    <row r="28" spans="2:11" x14ac:dyDescent="0.2">
      <c r="B28" s="150" t="s">
        <v>1007</v>
      </c>
      <c r="C28" s="229">
        <v>3756</v>
      </c>
      <c r="D28" s="229">
        <v>16500</v>
      </c>
      <c r="E28" s="42">
        <v>16500</v>
      </c>
      <c r="G28" s="636"/>
      <c r="H28" s="637"/>
      <c r="I28" s="637"/>
      <c r="J28" s="638"/>
    </row>
    <row r="29" spans="2:11" x14ac:dyDescent="0.2">
      <c r="B29" s="150" t="s">
        <v>1008</v>
      </c>
      <c r="C29" s="229"/>
      <c r="D29" s="229">
        <v>6000</v>
      </c>
      <c r="E29" s="42">
        <v>6000</v>
      </c>
      <c r="G29" s="504">
        <f>'Budget Hearing Notice'!H21</f>
        <v>1.67</v>
      </c>
      <c r="H29" s="310" t="str">
        <f>CONCATENATE("",E1," Estimated Fund Mill Rate")</f>
        <v>2024 Estimated Fund Mill Rate</v>
      </c>
      <c r="I29" s="505"/>
      <c r="J29" s="506"/>
    </row>
    <row r="30" spans="2:11" x14ac:dyDescent="0.2">
      <c r="B30" s="150" t="s">
        <v>1009</v>
      </c>
      <c r="C30" s="229"/>
      <c r="D30" s="229"/>
      <c r="E30" s="42"/>
      <c r="G30" s="507">
        <f>'Budget Hearing Notice'!E21</f>
        <v>1.871</v>
      </c>
      <c r="H30" s="310" t="str">
        <f>CONCATENATE("",E1-1," Fund Mill Rate")</f>
        <v>2023 Fund Mill Rate</v>
      </c>
      <c r="I30" s="505"/>
      <c r="J30" s="506"/>
    </row>
    <row r="31" spans="2:11" x14ac:dyDescent="0.2">
      <c r="B31" s="150"/>
      <c r="C31" s="229"/>
      <c r="D31" s="229"/>
      <c r="E31" s="42"/>
      <c r="G31" s="508">
        <f>'Budget Hearing Notice'!H62</f>
        <v>36.917000000000002</v>
      </c>
      <c r="H31" s="509" t="s">
        <v>544</v>
      </c>
      <c r="I31" s="505"/>
      <c r="J31" s="506"/>
    </row>
    <row r="32" spans="2:11" x14ac:dyDescent="0.2">
      <c r="B32" s="143" t="str">
        <f>CONCATENATE("Cash Forward (",E1," column)")</f>
        <v>Cash Forward (2024 column)</v>
      </c>
      <c r="C32" s="229"/>
      <c r="D32" s="229"/>
      <c r="E32" s="42"/>
      <c r="G32" s="504">
        <f>'Budget Hearing Notice'!H61</f>
        <v>36.917000000000002</v>
      </c>
      <c r="H32" s="310" t="str">
        <f>CONCATENATE(E1," Estimated Total Mill Rate")</f>
        <v>2024 Estimated Total Mill Rate</v>
      </c>
      <c r="I32" s="505"/>
      <c r="J32" s="506"/>
    </row>
    <row r="33" spans="2:10" ht="15.75" customHeight="1" x14ac:dyDescent="0.2">
      <c r="B33" s="143" t="s">
        <v>38</v>
      </c>
      <c r="C33" s="229"/>
      <c r="D33" s="229"/>
      <c r="E33" s="42"/>
      <c r="G33" s="510">
        <f>'Budget Hearing Notice'!E61</f>
        <v>36.946999999999996</v>
      </c>
      <c r="H33" s="310" t="str">
        <f>CONCATENATE(E1-1," Total Mill Rate")</f>
        <v>2023 Total Mill Rate</v>
      </c>
      <c r="I33" s="505"/>
      <c r="J33" s="506"/>
    </row>
    <row r="34" spans="2:10" ht="15.75" customHeight="1" x14ac:dyDescent="0.2">
      <c r="B34" s="143" t="s">
        <v>277</v>
      </c>
      <c r="C34" s="230" t="str">
        <f>IF(C35*0.1&lt;C33,"Exceed 10% Rule","")</f>
        <v/>
      </c>
      <c r="D34" s="230" t="str">
        <f>IF(D35*0.1&lt;D33,"Exceed 10% Rule","")</f>
        <v/>
      </c>
      <c r="E34" s="170" t="str">
        <f>IF(E35*0.1&lt;E33,"Exceed 10% Rule","")</f>
        <v/>
      </c>
      <c r="G34" s="321"/>
      <c r="H34" s="293"/>
      <c r="I34" s="293"/>
      <c r="J34" s="323"/>
    </row>
    <row r="35" spans="2:10" x14ac:dyDescent="0.2">
      <c r="B35" s="145" t="s">
        <v>93</v>
      </c>
      <c r="C35" s="457">
        <f>SUM(C26:C33)</f>
        <v>253063</v>
      </c>
      <c r="D35" s="457">
        <f>SUM(D26:D33)</f>
        <v>340970</v>
      </c>
      <c r="E35" s="457">
        <f>SUM(E26:E33)</f>
        <v>357324</v>
      </c>
      <c r="G35" s="639" t="s">
        <v>545</v>
      </c>
      <c r="H35" s="640"/>
      <c r="I35" s="640"/>
      <c r="J35" s="643" t="str">
        <f>IF(G32&gt;G31, "Yes", "No")</f>
        <v>No</v>
      </c>
    </row>
    <row r="36" spans="2:10" x14ac:dyDescent="0.2">
      <c r="B36" s="60" t="s">
        <v>183</v>
      </c>
      <c r="C36" s="106">
        <f>C24-C35</f>
        <v>111588</v>
      </c>
      <c r="D36" s="106">
        <f>D24-D35</f>
        <v>80673</v>
      </c>
      <c r="E36" s="165" t="s">
        <v>66</v>
      </c>
      <c r="G36" s="641"/>
      <c r="H36" s="642"/>
      <c r="I36" s="642"/>
      <c r="J36" s="644"/>
    </row>
    <row r="37" spans="2:10" x14ac:dyDescent="0.2">
      <c r="B37" s="135" t="str">
        <f>CONCATENATE("",E1-2,"/",E1-1,"/",E1," Budget Authority Amount:")</f>
        <v>2022/2023/2024 Budget Authority Amount:</v>
      </c>
      <c r="C37" s="167">
        <f>inputOth!B40</f>
        <v>331583</v>
      </c>
      <c r="D37" s="167">
        <f>inputPrYr!D22</f>
        <v>340970</v>
      </c>
      <c r="E37" s="106">
        <f>E35</f>
        <v>357324</v>
      </c>
      <c r="F37" s="151"/>
      <c r="G37" s="645" t="str">
        <f>IF(J35="Yes", "Follow procedure prescribed by KSA 79-2988 to exceed the Revenue Neutral Rate.", " ")</f>
        <v xml:space="preserve"> </v>
      </c>
      <c r="H37" s="645"/>
      <c r="I37" s="645"/>
      <c r="J37" s="645"/>
    </row>
    <row r="38" spans="2:10" x14ac:dyDescent="0.2">
      <c r="B38" s="125"/>
      <c r="C38" s="647" t="s">
        <v>281</v>
      </c>
      <c r="D38" s="648"/>
      <c r="E38" s="131"/>
      <c r="F38" s="238" t="str">
        <f>IF(E35/0.95-E35&lt;E38,"Exceeds 5%","")</f>
        <v/>
      </c>
      <c r="G38" s="646"/>
      <c r="H38" s="646"/>
      <c r="I38" s="646"/>
      <c r="J38" s="646"/>
    </row>
    <row r="39" spans="2:10" x14ac:dyDescent="0.2">
      <c r="B39" s="263" t="str">
        <f>CONCATENATE(C99,"     ",D99)</f>
        <v xml:space="preserve">     </v>
      </c>
      <c r="C39" s="649" t="s">
        <v>282</v>
      </c>
      <c r="D39" s="650"/>
      <c r="E39" s="106">
        <f>E35+E38</f>
        <v>357324</v>
      </c>
      <c r="G39" s="646"/>
      <c r="H39" s="646"/>
      <c r="I39" s="646"/>
      <c r="J39" s="646"/>
    </row>
    <row r="40" spans="2:10" x14ac:dyDescent="0.25">
      <c r="B40" s="263" t="str">
        <f>CONCATENATE(C100,"     ",D100)</f>
        <v xml:space="preserve">     </v>
      </c>
      <c r="C40" s="152"/>
      <c r="D40" s="90" t="s">
        <v>94</v>
      </c>
      <c r="E40" s="106">
        <f>IF(E39-E24&gt;0,E39-E24,0)</f>
        <v>263184</v>
      </c>
      <c r="G40" s="1"/>
      <c r="H40" s="1"/>
      <c r="I40" s="1"/>
      <c r="J40" s="1"/>
    </row>
    <row r="41" spans="2:10" x14ac:dyDescent="0.25">
      <c r="B41" s="90"/>
      <c r="C41" s="262" t="s">
        <v>283</v>
      </c>
      <c r="D41" s="291">
        <f>inputOth!$E$28</f>
        <v>5.4000000000000003E-3</v>
      </c>
      <c r="E41" s="106">
        <f>ROUND(IF(D41&gt;0,($E$40*D41),0),0)</f>
        <v>1421</v>
      </c>
      <c r="G41" s="1"/>
      <c r="H41" s="1"/>
      <c r="I41" s="1"/>
      <c r="J41" s="1"/>
    </row>
    <row r="42" spans="2:10" x14ac:dyDescent="0.25">
      <c r="B42" s="26"/>
      <c r="C42" s="631" t="str">
        <f>CONCATENATE("Amount of  ",$E$1-1," Ad Valorem Tax")</f>
        <v>Amount of  2023 Ad Valorem Tax</v>
      </c>
      <c r="D42" s="651"/>
      <c r="E42" s="106">
        <f>E40+E41</f>
        <v>264605</v>
      </c>
      <c r="G42" s="1"/>
      <c r="H42" s="1"/>
      <c r="I42" s="1"/>
      <c r="J42" s="1"/>
    </row>
    <row r="43" spans="2:10" x14ac:dyDescent="0.25">
      <c r="B43" s="25" t="s">
        <v>80</v>
      </c>
      <c r="C43" s="155"/>
      <c r="D43" s="155"/>
      <c r="E43" s="155"/>
      <c r="G43" s="1"/>
      <c r="H43" s="1"/>
      <c r="I43" s="1"/>
      <c r="J43" s="1"/>
    </row>
    <row r="44" spans="2:10" x14ac:dyDescent="0.25">
      <c r="B44" s="26"/>
      <c r="C44" s="333" t="str">
        <f t="shared" ref="C44:E45" si="0">C4</f>
        <v xml:space="preserve">Prior Year </v>
      </c>
      <c r="D44" s="334" t="str">
        <f t="shared" si="0"/>
        <v xml:space="preserve">Current Year </v>
      </c>
      <c r="E44" s="80" t="str">
        <f t="shared" si="0"/>
        <v xml:space="preserve">Proposed Budget </v>
      </c>
      <c r="G44" s="1"/>
      <c r="H44" s="1"/>
      <c r="I44" s="1"/>
      <c r="J44" s="1"/>
    </row>
    <row r="45" spans="2:10" x14ac:dyDescent="0.25">
      <c r="B45" s="246" t="str">
        <f>inputPrYr!B23</f>
        <v>Noxious Weed</v>
      </c>
      <c r="C45" s="231" t="str">
        <f t="shared" si="0"/>
        <v>Actual for 2022</v>
      </c>
      <c r="D45" s="231" t="str">
        <f t="shared" si="0"/>
        <v>Estimate for 2023</v>
      </c>
      <c r="E45" s="136" t="str">
        <f t="shared" si="0"/>
        <v>Year for 2024</v>
      </c>
      <c r="G45" s="1"/>
      <c r="H45" s="1"/>
      <c r="I45" s="1"/>
      <c r="J45" s="1"/>
    </row>
    <row r="46" spans="2:10" x14ac:dyDescent="0.25">
      <c r="B46" s="60" t="s">
        <v>182</v>
      </c>
      <c r="C46" s="229">
        <v>87690</v>
      </c>
      <c r="D46" s="232">
        <f>C77</f>
        <v>93655</v>
      </c>
      <c r="E46" s="106">
        <f>D77</f>
        <v>48433</v>
      </c>
      <c r="G46" s="1"/>
      <c r="H46" s="1"/>
      <c r="I46" s="1"/>
      <c r="J46" s="1"/>
    </row>
    <row r="47" spans="2:10" x14ac:dyDescent="0.25">
      <c r="B47" s="137" t="s">
        <v>184</v>
      </c>
      <c r="C47" s="139"/>
      <c r="D47" s="139"/>
      <c r="E47" s="50"/>
      <c r="G47" s="1"/>
      <c r="H47" s="1"/>
      <c r="I47" s="1"/>
      <c r="J47" s="1"/>
    </row>
    <row r="48" spans="2:10" x14ac:dyDescent="0.25">
      <c r="B48" s="60" t="s">
        <v>81</v>
      </c>
      <c r="C48" s="229">
        <v>77609</v>
      </c>
      <c r="D48" s="232">
        <f>IF(inputPrYr!H23&gt;0,inputPrYr!H23,inputPrYr!E23)</f>
        <v>82249</v>
      </c>
      <c r="E48" s="165" t="s">
        <v>66</v>
      </c>
      <c r="G48" s="1"/>
      <c r="H48" s="1"/>
      <c r="I48" s="1"/>
      <c r="J48" s="1"/>
    </row>
    <row r="49" spans="2:11" x14ac:dyDescent="0.25">
      <c r="B49" s="60" t="s">
        <v>82</v>
      </c>
      <c r="C49" s="229">
        <v>841</v>
      </c>
      <c r="D49" s="229">
        <v>1638</v>
      </c>
      <c r="E49" s="42">
        <v>800</v>
      </c>
      <c r="G49" s="1"/>
      <c r="H49" s="1"/>
      <c r="I49" s="1"/>
      <c r="J49" s="1"/>
    </row>
    <row r="50" spans="2:11" x14ac:dyDescent="0.25">
      <c r="B50" s="60" t="s">
        <v>83</v>
      </c>
      <c r="C50" s="229">
        <v>5796</v>
      </c>
      <c r="D50" s="229">
        <v>4542</v>
      </c>
      <c r="E50" s="106">
        <f>Mvalloc!D13</f>
        <v>4678</v>
      </c>
      <c r="G50" s="1"/>
      <c r="H50" s="1"/>
      <c r="I50" s="1"/>
      <c r="J50" s="1"/>
    </row>
    <row r="51" spans="2:11" x14ac:dyDescent="0.25">
      <c r="B51" s="60" t="s">
        <v>84</v>
      </c>
      <c r="C51" s="229">
        <v>131</v>
      </c>
      <c r="D51" s="229">
        <v>105</v>
      </c>
      <c r="E51" s="106">
        <f>Mvalloc!E13</f>
        <v>106</v>
      </c>
      <c r="G51" s="1"/>
      <c r="H51" s="1"/>
      <c r="I51" s="1"/>
      <c r="J51" s="1"/>
    </row>
    <row r="52" spans="2:11" x14ac:dyDescent="0.2">
      <c r="B52" s="139" t="s">
        <v>163</v>
      </c>
      <c r="C52" s="229"/>
      <c r="D52" s="229">
        <v>817</v>
      </c>
      <c r="E52" s="106">
        <f>Mvalloc!F13</f>
        <v>879</v>
      </c>
      <c r="G52" s="652" t="str">
        <f>CONCATENATE("Desired Carryover Into ",E1+1,"")</f>
        <v>Desired Carryover Into 2025</v>
      </c>
      <c r="H52" s="653"/>
      <c r="I52" s="653"/>
      <c r="J52" s="654"/>
    </row>
    <row r="53" spans="2:11" x14ac:dyDescent="0.2">
      <c r="B53" s="137" t="s">
        <v>335</v>
      </c>
      <c r="C53" s="229">
        <v>339</v>
      </c>
      <c r="D53" s="229">
        <v>266</v>
      </c>
      <c r="E53" s="106">
        <f>Mvalloc!G13</f>
        <v>272</v>
      </c>
      <c r="G53" s="292"/>
      <c r="H53" s="293"/>
      <c r="I53" s="294"/>
      <c r="J53" s="295"/>
    </row>
    <row r="54" spans="2:11" x14ac:dyDescent="0.2">
      <c r="B54" s="137" t="s">
        <v>336</v>
      </c>
      <c r="C54" s="229"/>
      <c r="D54" s="229">
        <v>54</v>
      </c>
      <c r="E54" s="106">
        <f>Mvalloc!H13</f>
        <v>55</v>
      </c>
      <c r="G54" s="296" t="s">
        <v>284</v>
      </c>
      <c r="H54" s="294"/>
      <c r="I54" s="294"/>
      <c r="J54" s="297">
        <v>0</v>
      </c>
    </row>
    <row r="55" spans="2:11" x14ac:dyDescent="0.2">
      <c r="B55" s="150"/>
      <c r="C55" s="229"/>
      <c r="D55" s="229"/>
      <c r="E55" s="42"/>
      <c r="G55" s="292" t="s">
        <v>285</v>
      </c>
      <c r="H55" s="293"/>
      <c r="I55" s="293"/>
      <c r="J55" s="298" t="str">
        <f>IF(J54=0,"",ROUND((J54+E83-G67)/inputOth!E6*1000,3)-G72)</f>
        <v/>
      </c>
    </row>
    <row r="56" spans="2:11" x14ac:dyDescent="0.2">
      <c r="B56" s="150"/>
      <c r="C56" s="229"/>
      <c r="D56" s="229"/>
      <c r="E56" s="42"/>
      <c r="G56" s="299" t="str">
        <f>CONCATENATE("",E1," Tot Exp/Non-Appr Must Be:")</f>
        <v>2024 Tot Exp/Non-Appr Must Be:</v>
      </c>
      <c r="H56" s="300"/>
      <c r="I56" s="301"/>
      <c r="J56" s="302">
        <f>IF(J54&gt;0,IF(E80&lt;E65,IF(J54=G67,E80,((J54-G67)*(1-D82))+E65),E80+(J54-G67)),0)</f>
        <v>0</v>
      </c>
    </row>
    <row r="57" spans="2:11" x14ac:dyDescent="0.2">
      <c r="B57" s="150"/>
      <c r="C57" s="229"/>
      <c r="D57" s="229"/>
      <c r="E57" s="42"/>
      <c r="G57" s="303" t="s">
        <v>305</v>
      </c>
      <c r="H57" s="304"/>
      <c r="I57" s="304"/>
      <c r="J57" s="305">
        <f>IF(J54&gt;0,J56-E80,0)</f>
        <v>0</v>
      </c>
    </row>
    <row r="58" spans="2:11" x14ac:dyDescent="0.25">
      <c r="B58" s="150"/>
      <c r="C58" s="229"/>
      <c r="D58" s="229"/>
      <c r="E58" s="42"/>
      <c r="G58" s="1"/>
      <c r="H58" s="1"/>
      <c r="I58" s="1"/>
      <c r="J58" s="1"/>
    </row>
    <row r="59" spans="2:11" x14ac:dyDescent="0.2">
      <c r="B59" s="150"/>
      <c r="C59" s="229"/>
      <c r="D59" s="229"/>
      <c r="E59" s="42"/>
      <c r="G59" s="652" t="str">
        <f>CONCATENATE("Projected Carryover Into ",E1+1,"")</f>
        <v>Projected Carryover Into 2025</v>
      </c>
      <c r="H59" s="660"/>
      <c r="I59" s="660"/>
      <c r="J59" s="659"/>
    </row>
    <row r="60" spans="2:11" x14ac:dyDescent="0.25">
      <c r="B60" s="142" t="s">
        <v>87</v>
      </c>
      <c r="C60" s="229"/>
      <c r="D60" s="229"/>
      <c r="E60" s="42"/>
      <c r="G60" s="321"/>
      <c r="H60" s="293"/>
      <c r="I60" s="293"/>
      <c r="J60" s="316"/>
    </row>
    <row r="61" spans="2:11" x14ac:dyDescent="0.25">
      <c r="B61" s="143" t="s">
        <v>40</v>
      </c>
      <c r="C61" s="229">
        <v>-1942</v>
      </c>
      <c r="D61" s="229">
        <v>-1893</v>
      </c>
      <c r="E61" s="106">
        <f>'NR Rebate'!E12*-1</f>
        <v>-2251</v>
      </c>
      <c r="G61" s="312">
        <f>D77</f>
        <v>48433</v>
      </c>
      <c r="H61" s="310" t="str">
        <f>CONCATENATE("",E1-1," Ending Cash Balance (est.)")</f>
        <v>2023 Ending Cash Balance (est.)</v>
      </c>
      <c r="I61" s="313"/>
      <c r="J61" s="316"/>
    </row>
    <row r="62" spans="2:11" x14ac:dyDescent="0.25">
      <c r="B62" s="143" t="s">
        <v>38</v>
      </c>
      <c r="C62" s="229"/>
      <c r="D62" s="229"/>
      <c r="E62" s="42"/>
      <c r="G62" s="312">
        <f>E64</f>
        <v>4539</v>
      </c>
      <c r="H62" s="294" t="str">
        <f>CONCATENATE("",E1," Non-AV Receipts (est.)")</f>
        <v>2024 Non-AV Receipts (est.)</v>
      </c>
      <c r="I62" s="313"/>
      <c r="J62" s="316"/>
    </row>
    <row r="63" spans="2:11" x14ac:dyDescent="0.25">
      <c r="B63" s="143" t="s">
        <v>278</v>
      </c>
      <c r="C63" s="230" t="str">
        <f>IF(C64*0.1&lt;C62,"Exceed 10% Rule","")</f>
        <v/>
      </c>
      <c r="D63" s="230" t="str">
        <f>IF(D64*0.1&lt;D62,"Exceed 10% Rule","")</f>
        <v/>
      </c>
      <c r="E63" s="170" t="str">
        <f>IF(E64*0.1+E83&lt;E62,"Exceed 10% Rule","")</f>
        <v/>
      </c>
      <c r="G63" s="314">
        <f>IF(E82&gt;0,E81,E83)</f>
        <v>83028</v>
      </c>
      <c r="H63" s="294" t="str">
        <f>CONCATENATE("",E1," Ad Valorem Tax (est.)")</f>
        <v>2024 Ad Valorem Tax (est.)</v>
      </c>
      <c r="I63" s="313"/>
      <c r="J63" s="316"/>
      <c r="K63" s="308" t="str">
        <f>IF(G63=E83,"","Note: Does not include Delinquent Taxes")</f>
        <v>Note: Does not include Delinquent Taxes</v>
      </c>
    </row>
    <row r="64" spans="2:11" x14ac:dyDescent="0.25">
      <c r="B64" s="145" t="s">
        <v>88</v>
      </c>
      <c r="C64" s="457">
        <f>SUM(C48:C62)</f>
        <v>82774</v>
      </c>
      <c r="D64" s="457">
        <f>SUM(D48:D62)</f>
        <v>87778</v>
      </c>
      <c r="E64" s="457">
        <f>SUM(E49:E62)</f>
        <v>4539</v>
      </c>
      <c r="G64" s="322">
        <f>SUM(G61:G63)</f>
        <v>136000</v>
      </c>
      <c r="H64" s="294" t="str">
        <f>CONCATENATE("Total ",E1," Resources Available")</f>
        <v>Total 2024 Resources Available</v>
      </c>
      <c r="I64" s="323"/>
      <c r="J64" s="316"/>
    </row>
    <row r="65" spans="2:10" x14ac:dyDescent="0.25">
      <c r="B65" s="145" t="s">
        <v>89</v>
      </c>
      <c r="C65" s="457">
        <f>C46+C64</f>
        <v>170464</v>
      </c>
      <c r="D65" s="457">
        <f>D46+D64</f>
        <v>181433</v>
      </c>
      <c r="E65" s="457">
        <f>E46+E64</f>
        <v>52972</v>
      </c>
      <c r="G65" s="324"/>
      <c r="H65" s="325"/>
      <c r="I65" s="293"/>
      <c r="J65" s="316"/>
    </row>
    <row r="66" spans="2:10" x14ac:dyDescent="0.25">
      <c r="B66" s="60" t="s">
        <v>92</v>
      </c>
      <c r="C66" s="143"/>
      <c r="D66" s="143"/>
      <c r="E66" s="38"/>
      <c r="G66" s="326">
        <f>ROUND(C76*0.05+C76,0)</f>
        <v>80649</v>
      </c>
      <c r="H66" s="294" t="str">
        <f>CONCATENATE("Less ",E1-2," Expenditures + 5%")</f>
        <v>Less 2022 Expenditures + 5%</v>
      </c>
      <c r="I66" s="323"/>
      <c r="J66" s="316"/>
    </row>
    <row r="67" spans="2:10" x14ac:dyDescent="0.25">
      <c r="B67" s="150" t="s">
        <v>987</v>
      </c>
      <c r="C67" s="229">
        <v>61627</v>
      </c>
      <c r="D67" s="229">
        <v>85000</v>
      </c>
      <c r="E67" s="42">
        <v>88000</v>
      </c>
      <c r="G67" s="327">
        <f>G64-G66</f>
        <v>55351</v>
      </c>
      <c r="H67" s="318" t="str">
        <f>CONCATENATE("Projected ",E1+1," carryover (est.)")</f>
        <v>Projected 2025 carryover (est.)</v>
      </c>
      <c r="I67" s="328"/>
      <c r="J67" s="329"/>
    </row>
    <row r="68" spans="2:10" x14ac:dyDescent="0.25">
      <c r="B68" s="150" t="s">
        <v>1006</v>
      </c>
      <c r="C68" s="229">
        <v>15125</v>
      </c>
      <c r="D68" s="229">
        <v>25000</v>
      </c>
      <c r="E68" s="42">
        <v>25000</v>
      </c>
      <c r="G68" s="1"/>
      <c r="H68" s="1"/>
      <c r="I68" s="1"/>
      <c r="J68" s="1"/>
    </row>
    <row r="69" spans="2:10" x14ac:dyDescent="0.2">
      <c r="B69" s="150" t="s">
        <v>1007</v>
      </c>
      <c r="C69" s="229">
        <v>57</v>
      </c>
      <c r="D69" s="229">
        <v>3000</v>
      </c>
      <c r="E69" s="42">
        <v>3000</v>
      </c>
      <c r="G69" s="633" t="s">
        <v>543</v>
      </c>
      <c r="H69" s="634"/>
      <c r="I69" s="634"/>
      <c r="J69" s="635"/>
    </row>
    <row r="70" spans="2:10" x14ac:dyDescent="0.2">
      <c r="B70" s="150" t="s">
        <v>998</v>
      </c>
      <c r="C70" s="229"/>
      <c r="D70" s="229">
        <v>20000</v>
      </c>
      <c r="E70" s="42">
        <v>20000</v>
      </c>
      <c r="G70" s="636"/>
      <c r="H70" s="637"/>
      <c r="I70" s="637"/>
      <c r="J70" s="638"/>
    </row>
    <row r="71" spans="2:10" x14ac:dyDescent="0.2">
      <c r="B71" s="150"/>
      <c r="C71" s="229"/>
      <c r="D71" s="229"/>
      <c r="E71" s="42"/>
      <c r="G71" s="504">
        <f>'Budget Hearing Notice'!H22</f>
        <v>0.52700000000000002</v>
      </c>
      <c r="H71" s="310" t="str">
        <f>CONCATENATE("",E1," Estimated Fund Mill Rate")</f>
        <v>2024 Estimated Fund Mill Rate</v>
      </c>
      <c r="I71" s="505"/>
      <c r="J71" s="506"/>
    </row>
    <row r="72" spans="2:10" x14ac:dyDescent="0.2">
      <c r="B72" s="150"/>
      <c r="C72" s="229"/>
      <c r="D72" s="229"/>
      <c r="E72" s="42"/>
      <c r="G72" s="507">
        <f>'Budget Hearing Notice'!E22</f>
        <v>0.51900000000000002</v>
      </c>
      <c r="H72" s="310" t="str">
        <f>CONCATENATE("",E1-1," Fund Mill Rate")</f>
        <v>2023 Fund Mill Rate</v>
      </c>
      <c r="I72" s="505"/>
      <c r="J72" s="506"/>
    </row>
    <row r="73" spans="2:10" x14ac:dyDescent="0.2">
      <c r="B73" s="143" t="str">
        <f>CONCATENATE("Cash Forward (",E1," column)")</f>
        <v>Cash Forward (2024 column)</v>
      </c>
      <c r="C73" s="229"/>
      <c r="D73" s="229"/>
      <c r="E73" s="42"/>
      <c r="G73" s="508">
        <f>'Budget Hearing Notice'!H62</f>
        <v>36.917000000000002</v>
      </c>
      <c r="H73" s="509" t="s">
        <v>544</v>
      </c>
      <c r="I73" s="505"/>
      <c r="J73" s="506"/>
    </row>
    <row r="74" spans="2:10" x14ac:dyDescent="0.2">
      <c r="B74" s="143" t="s">
        <v>38</v>
      </c>
      <c r="C74" s="229"/>
      <c r="D74" s="229"/>
      <c r="E74" s="42"/>
      <c r="G74" s="504">
        <f>'Budget Hearing Notice'!H61</f>
        <v>36.917000000000002</v>
      </c>
      <c r="H74" s="310" t="str">
        <f>CONCATENATE(E1," Estimated Total Mill Rate")</f>
        <v>2024 Estimated Total Mill Rate</v>
      </c>
      <c r="I74" s="505"/>
      <c r="J74" s="506"/>
    </row>
    <row r="75" spans="2:10" x14ac:dyDescent="0.2">
      <c r="B75" s="143" t="s">
        <v>277</v>
      </c>
      <c r="C75" s="230" t="str">
        <f>IF(C76*0.1&lt;C74,"Exceed 10% Rule","")</f>
        <v/>
      </c>
      <c r="D75" s="230" t="str">
        <f>IF(D76*0.1&lt;D74,"Exceed 10% Rule","")</f>
        <v/>
      </c>
      <c r="E75" s="170" t="str">
        <f>IF(E76*0.1&lt;E74,"Exceed 10% Rule","")</f>
        <v/>
      </c>
      <c r="G75" s="510">
        <f>'Budget Hearing Notice'!E61</f>
        <v>36.946999999999996</v>
      </c>
      <c r="H75" s="310" t="str">
        <f>CONCATENATE(E1-1," Total Mill Rate")</f>
        <v>2023 Total Mill Rate</v>
      </c>
      <c r="I75" s="505"/>
      <c r="J75" s="506"/>
    </row>
    <row r="76" spans="2:10" x14ac:dyDescent="0.2">
      <c r="B76" s="145" t="s">
        <v>93</v>
      </c>
      <c r="C76" s="457">
        <f>SUM(C67:C74)</f>
        <v>76809</v>
      </c>
      <c r="D76" s="457">
        <f>SUM(D67:D74)</f>
        <v>133000</v>
      </c>
      <c r="E76" s="457">
        <f>SUM(E67:E74)</f>
        <v>136000</v>
      </c>
      <c r="G76" s="321"/>
      <c r="H76" s="293"/>
      <c r="I76" s="293"/>
      <c r="J76" s="323"/>
    </row>
    <row r="77" spans="2:10" x14ac:dyDescent="0.2">
      <c r="B77" s="60" t="s">
        <v>183</v>
      </c>
      <c r="C77" s="106">
        <f>C65-C76</f>
        <v>93655</v>
      </c>
      <c r="D77" s="106">
        <f>D65-D76</f>
        <v>48433</v>
      </c>
      <c r="E77" s="165" t="s">
        <v>66</v>
      </c>
      <c r="G77" s="639" t="s">
        <v>545</v>
      </c>
      <c r="H77" s="640"/>
      <c r="I77" s="640"/>
      <c r="J77" s="643" t="str">
        <f>IF(G74&gt;G73, "Yes", "No")</f>
        <v>No</v>
      </c>
    </row>
    <row r="78" spans="2:10" x14ac:dyDescent="0.2">
      <c r="B78" s="135" t="str">
        <f>CONCATENATE("",E1-2,"/",E1-1,"/",E1," Budget Authority Amount:")</f>
        <v>2022/2023/2024 Budget Authority Amount:</v>
      </c>
      <c r="C78" s="167">
        <f>inputOth!B41</f>
        <v>125343</v>
      </c>
      <c r="D78" s="167">
        <f>inputPrYr!D23</f>
        <v>133000</v>
      </c>
      <c r="E78" s="106">
        <f>E76</f>
        <v>136000</v>
      </c>
      <c r="G78" s="641"/>
      <c r="H78" s="642"/>
      <c r="I78" s="642"/>
      <c r="J78" s="644"/>
    </row>
    <row r="79" spans="2:10" x14ac:dyDescent="0.2">
      <c r="B79" s="125"/>
      <c r="C79" s="647" t="s">
        <v>281</v>
      </c>
      <c r="D79" s="648"/>
      <c r="E79" s="42"/>
      <c r="F79" s="151"/>
      <c r="G79" s="645" t="str">
        <f>IF(J77="Yes", "Follow procedure prescribed by KSA 79-2988 to exceed the Revenue Neutral Rate.", " ")</f>
        <v xml:space="preserve"> </v>
      </c>
      <c r="H79" s="645"/>
      <c r="I79" s="645"/>
      <c r="J79" s="645"/>
    </row>
    <row r="80" spans="2:10" x14ac:dyDescent="0.2">
      <c r="B80" s="263" t="str">
        <f>CONCATENATE(C101,"     ",D101)</f>
        <v xml:space="preserve">     </v>
      </c>
      <c r="C80" s="649" t="s">
        <v>282</v>
      </c>
      <c r="D80" s="650"/>
      <c r="E80" s="106">
        <f>E76+E79</f>
        <v>136000</v>
      </c>
      <c r="F80" s="238" t="str">
        <f>IF(E76/0.95-E76&lt;E79,"Exceeds 5%","")</f>
        <v/>
      </c>
      <c r="G80" s="646"/>
      <c r="H80" s="646"/>
      <c r="I80" s="646"/>
      <c r="J80" s="646"/>
    </row>
    <row r="81" spans="2:10" x14ac:dyDescent="0.2">
      <c r="B81" s="263" t="str">
        <f>CONCATENATE(C102,"     ",D102)</f>
        <v xml:space="preserve">     </v>
      </c>
      <c r="C81" s="152"/>
      <c r="D81" s="90" t="s">
        <v>94</v>
      </c>
      <c r="E81" s="106">
        <f>IF(E80-E65&gt;0,E80-E65,0)</f>
        <v>83028</v>
      </c>
      <c r="G81" s="646"/>
      <c r="H81" s="646"/>
      <c r="I81" s="646"/>
      <c r="J81" s="646"/>
    </row>
    <row r="82" spans="2:10" x14ac:dyDescent="0.2">
      <c r="B82" s="90"/>
      <c r="C82" s="262" t="s">
        <v>283</v>
      </c>
      <c r="D82" s="291">
        <f>inputOth!$E$28</f>
        <v>5.4000000000000003E-3</v>
      </c>
      <c r="E82" s="106">
        <f>ROUND(IF(D82&gt;0,($E$81*D82),0),0)</f>
        <v>448</v>
      </c>
    </row>
    <row r="83" spans="2:10" x14ac:dyDescent="0.2">
      <c r="B83" s="26"/>
      <c r="C83" s="631" t="str">
        <f>CONCATENATE("Amount of  ",$E$1-1," Ad Valorem Tax")</f>
        <v>Amount of  2023 Ad Valorem Tax</v>
      </c>
      <c r="D83" s="651"/>
      <c r="E83" s="106">
        <f>E81+E82</f>
        <v>83476</v>
      </c>
    </row>
    <row r="84" spans="2:10" x14ac:dyDescent="0.2">
      <c r="B84" s="26"/>
      <c r="C84" s="125"/>
      <c r="D84" s="26"/>
      <c r="E84" s="125"/>
    </row>
    <row r="85" spans="2:10" x14ac:dyDescent="0.2">
      <c r="B85" s="417" t="s">
        <v>342</v>
      </c>
      <c r="C85" s="396"/>
      <c r="D85" s="341"/>
      <c r="E85" s="403"/>
    </row>
    <row r="86" spans="2:10" x14ac:dyDescent="0.2">
      <c r="B86" s="126"/>
      <c r="C86" s="125"/>
      <c r="D86" s="26"/>
      <c r="E86" s="404"/>
    </row>
    <row r="87" spans="2:10" x14ac:dyDescent="0.2">
      <c r="B87" s="397"/>
      <c r="C87" s="402"/>
      <c r="D87" s="44"/>
      <c r="E87" s="405"/>
    </row>
    <row r="88" spans="2:10" x14ac:dyDescent="0.2">
      <c r="B88" s="26"/>
      <c r="C88" s="125"/>
      <c r="D88" s="26"/>
      <c r="E88" s="125"/>
    </row>
    <row r="89" spans="2:10" x14ac:dyDescent="0.2">
      <c r="B89" s="125" t="s">
        <v>133</v>
      </c>
      <c r="C89" s="362">
        <v>9</v>
      </c>
      <c r="D89" s="26"/>
      <c r="E89" s="26"/>
    </row>
    <row r="95" spans="2:10" hidden="1" x14ac:dyDescent="0.2"/>
    <row r="96" spans="2:10" hidden="1" x14ac:dyDescent="0.2"/>
    <row r="97" spans="3:4" hidden="1" x14ac:dyDescent="0.2"/>
    <row r="98" spans="3:4" hidden="1" x14ac:dyDescent="0.2"/>
    <row r="99" spans="3:4" x14ac:dyDescent="0.2">
      <c r="C99" s="23" t="str">
        <f>IF(C35&gt;C37,"See Tab A","")</f>
        <v/>
      </c>
      <c r="D99" s="23" t="str">
        <f>IF(D35&gt;D37,"See Tab C","")</f>
        <v/>
      </c>
    </row>
    <row r="100" spans="3:4" x14ac:dyDescent="0.2">
      <c r="C100" s="23" t="str">
        <f>IF(C36&lt;0,"See Tab B","")</f>
        <v/>
      </c>
      <c r="D100" s="23" t="str">
        <f>IF(D36&lt;0,"See Tab D","")</f>
        <v/>
      </c>
    </row>
    <row r="101" spans="3:4" x14ac:dyDescent="0.2">
      <c r="C101" s="23" t="str">
        <f>IF(C76&gt;C78,"See Tab A","")</f>
        <v/>
      </c>
      <c r="D101" s="23" t="str">
        <f>IF(D76&gt;D78,"See Tab C","")</f>
        <v/>
      </c>
    </row>
    <row r="102" spans="3:4" x14ac:dyDescent="0.2">
      <c r="C102" s="23" t="str">
        <f>IF(C77&lt;0,"See Tab B","")</f>
        <v/>
      </c>
      <c r="D102" s="23" t="str">
        <f>IF(D77&lt;0,"See Tab D","")</f>
        <v/>
      </c>
    </row>
  </sheetData>
  <sheetProtection sheet="1" objects="1" scenarios="1"/>
  <mergeCells count="18">
    <mergeCell ref="G77:I78"/>
    <mergeCell ref="J77:J78"/>
    <mergeCell ref="G79:J81"/>
    <mergeCell ref="G69:J70"/>
    <mergeCell ref="G10:J10"/>
    <mergeCell ref="G17:J17"/>
    <mergeCell ref="G52:J52"/>
    <mergeCell ref="G59:J59"/>
    <mergeCell ref="G27:J28"/>
    <mergeCell ref="G35:I36"/>
    <mergeCell ref="J35:J36"/>
    <mergeCell ref="G37:J39"/>
    <mergeCell ref="C38:D38"/>
    <mergeCell ref="C39:D39"/>
    <mergeCell ref="C79:D79"/>
    <mergeCell ref="C80:D80"/>
    <mergeCell ref="C83:D83"/>
    <mergeCell ref="C42:D42"/>
  </mergeCells>
  <phoneticPr fontId="0" type="noConversion"/>
  <conditionalFormatting sqref="E74">
    <cfRule type="cellIs" dxfId="343" priority="13" stopIfTrue="1" operator="greaterThan">
      <formula>$E$76*0.1</formula>
    </cfRule>
  </conditionalFormatting>
  <conditionalFormatting sqref="E79">
    <cfRule type="cellIs" dxfId="342" priority="14" stopIfTrue="1" operator="greaterThan">
      <formula>$E$76/0.95-$E$76</formula>
    </cfRule>
  </conditionalFormatting>
  <conditionalFormatting sqref="E38">
    <cfRule type="cellIs" dxfId="341" priority="15" stopIfTrue="1" operator="greaterThan">
      <formula>$E$35/0.95-$E$35</formula>
    </cfRule>
  </conditionalFormatting>
  <conditionalFormatting sqref="E33">
    <cfRule type="cellIs" dxfId="340" priority="16" stopIfTrue="1" operator="greaterThan">
      <formula>$E$35*0.1</formula>
    </cfRule>
  </conditionalFormatting>
  <conditionalFormatting sqref="C74">
    <cfRule type="cellIs" dxfId="339" priority="22" stopIfTrue="1" operator="greaterThan">
      <formula>$C$76*0.1</formula>
    </cfRule>
  </conditionalFormatting>
  <conditionalFormatting sqref="D74">
    <cfRule type="cellIs" dxfId="338" priority="23" stopIfTrue="1" operator="greaterThan">
      <formula>$D$76*0.1</formula>
    </cfRule>
  </conditionalFormatting>
  <conditionalFormatting sqref="E62">
    <cfRule type="cellIs" dxfId="337" priority="24" stopIfTrue="1" operator="greaterThan">
      <formula>$E$64*0.1+E83</formula>
    </cfRule>
  </conditionalFormatting>
  <conditionalFormatting sqref="C62">
    <cfRule type="cellIs" dxfId="336" priority="25" stopIfTrue="1" operator="greaterThan">
      <formula>$C$64*0.1</formula>
    </cfRule>
  </conditionalFormatting>
  <conditionalFormatting sqref="D62">
    <cfRule type="cellIs" dxfId="335" priority="26" stopIfTrue="1" operator="greaterThan">
      <formula>$D$64*0.1</formula>
    </cfRule>
  </conditionalFormatting>
  <conditionalFormatting sqref="C33">
    <cfRule type="cellIs" dxfId="334" priority="27" stopIfTrue="1" operator="greaterThan">
      <formula>$C$35*0.1</formula>
    </cfRule>
  </conditionalFormatting>
  <conditionalFormatting sqref="D33">
    <cfRule type="cellIs" dxfId="333" priority="28" stopIfTrue="1" operator="greaterThan">
      <formula>$D$35*0.1</formula>
    </cfRule>
  </conditionalFormatting>
  <conditionalFormatting sqref="E21">
    <cfRule type="cellIs" dxfId="332" priority="29" stopIfTrue="1" operator="greaterThan">
      <formula>$E$23*0.1+E42</formula>
    </cfRule>
  </conditionalFormatting>
  <conditionalFormatting sqref="C21">
    <cfRule type="cellIs" dxfId="331" priority="30" stopIfTrue="1" operator="greaterThan">
      <formula>$C$23*0.1</formula>
    </cfRule>
  </conditionalFormatting>
  <conditionalFormatting sqref="D21">
    <cfRule type="cellIs" dxfId="330" priority="31" stopIfTrue="1" operator="greaterThan">
      <formula>$D$23*0.1</formula>
    </cfRule>
  </conditionalFormatting>
  <conditionalFormatting sqref="J35">
    <cfRule type="containsText" dxfId="329" priority="10" operator="containsText" text="Yes">
      <formula>NOT(ISERROR(SEARCH("Yes",J35)))</formula>
    </cfRule>
  </conditionalFormatting>
  <conditionalFormatting sqref="J77">
    <cfRule type="containsText" dxfId="328" priority="9" operator="containsText" text="Yes">
      <formula>NOT(ISERROR(SEARCH("Yes",J77)))</formula>
    </cfRule>
  </conditionalFormatting>
  <conditionalFormatting sqref="C35">
    <cfRule type="cellIs" dxfId="327" priority="5" stopIfTrue="1" operator="greaterThan">
      <formula>$C$37</formula>
    </cfRule>
  </conditionalFormatting>
  <conditionalFormatting sqref="D35">
    <cfRule type="cellIs" dxfId="326" priority="6" stopIfTrue="1" operator="greaterThan">
      <formula>$D$37</formula>
    </cfRule>
  </conditionalFormatting>
  <conditionalFormatting sqref="C76">
    <cfRule type="cellIs" dxfId="325" priority="7" stopIfTrue="1" operator="greaterThan">
      <formula>$C$78</formula>
    </cfRule>
  </conditionalFormatting>
  <conditionalFormatting sqref="D76">
    <cfRule type="cellIs" dxfId="324" priority="8" stopIfTrue="1" operator="greaterThan">
      <formula>$D$78</formula>
    </cfRule>
  </conditionalFormatting>
  <conditionalFormatting sqref="C36">
    <cfRule type="cellIs" dxfId="323" priority="1" stopIfTrue="1" operator="lessThan">
      <formula>0</formula>
    </cfRule>
  </conditionalFormatting>
  <conditionalFormatting sqref="D36">
    <cfRule type="cellIs" dxfId="322" priority="2" stopIfTrue="1" operator="lessThan">
      <formula>0</formula>
    </cfRule>
  </conditionalFormatting>
  <conditionalFormatting sqref="C77">
    <cfRule type="cellIs" dxfId="321" priority="3" stopIfTrue="1" operator="lessThan">
      <formula>0</formula>
    </cfRule>
  </conditionalFormatting>
  <conditionalFormatting sqref="D77">
    <cfRule type="cellIs" dxfId="320" priority="4" stopIfTrue="1" operator="lessThan">
      <formula>0</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19"/>
  <sheetViews>
    <sheetView topLeftCell="A10" zoomScaleNormal="100" workbookViewId="0">
      <selection sqref="A1:F1"/>
    </sheetView>
  </sheetViews>
  <sheetFormatPr defaultRowHeight="15.75" x14ac:dyDescent="0.2"/>
  <cols>
    <col min="1" max="1" width="15.77734375" style="23" customWidth="1"/>
    <col min="2" max="2" width="20.77734375" style="23" customWidth="1"/>
    <col min="3" max="3" width="8.77734375" style="23" customWidth="1"/>
    <col min="4" max="5" width="13.33203125" style="23" customWidth="1"/>
    <col min="6" max="6" width="10.77734375" style="23" customWidth="1"/>
    <col min="7" max="7" width="1.77734375" style="23" customWidth="1"/>
    <col min="8" max="8" width="18.6640625" style="23" customWidth="1"/>
    <col min="9" max="16384" width="8.88671875" style="23"/>
  </cols>
  <sheetData>
    <row r="1" spans="1:9" x14ac:dyDescent="0.2">
      <c r="A1" s="553" t="s">
        <v>314</v>
      </c>
      <c r="B1" s="554"/>
      <c r="C1" s="554"/>
      <c r="D1" s="554"/>
      <c r="E1" s="554"/>
      <c r="F1" s="554"/>
      <c r="G1" s="26"/>
      <c r="H1" s="26"/>
      <c r="I1" s="26"/>
    </row>
    <row r="2" spans="1:9" x14ac:dyDescent="0.2">
      <c r="A2" s="25"/>
      <c r="B2" s="26"/>
      <c r="C2" s="26"/>
      <c r="D2" s="26"/>
      <c r="E2" s="27"/>
      <c r="F2" s="26"/>
      <c r="G2" s="26"/>
      <c r="H2" s="26"/>
      <c r="I2" s="26"/>
    </row>
    <row r="3" spans="1:9" x14ac:dyDescent="0.2">
      <c r="A3" s="366" t="s">
        <v>315</v>
      </c>
      <c r="B3" s="26"/>
      <c r="C3" s="562" t="s">
        <v>962</v>
      </c>
      <c r="D3" s="563"/>
      <c r="E3" s="564"/>
      <c r="F3" s="26"/>
      <c r="G3" s="26"/>
      <c r="H3" s="26"/>
      <c r="I3" s="26"/>
    </row>
    <row r="4" spans="1:9" x14ac:dyDescent="0.2">
      <c r="A4" s="25"/>
      <c r="B4" s="26"/>
      <c r="C4" s="26"/>
      <c r="D4" s="26"/>
      <c r="E4" s="27"/>
      <c r="F4" s="26"/>
      <c r="G4" s="26"/>
      <c r="H4" s="26"/>
      <c r="I4" s="26"/>
    </row>
    <row r="5" spans="1:9" x14ac:dyDescent="0.2">
      <c r="A5" s="366" t="s">
        <v>316</v>
      </c>
      <c r="B5" s="26"/>
      <c r="C5" s="28">
        <v>2024</v>
      </c>
      <c r="D5" s="29"/>
      <c r="E5" s="27"/>
      <c r="F5" s="26"/>
      <c r="G5" s="26"/>
      <c r="H5" s="26"/>
      <c r="I5" s="26"/>
    </row>
    <row r="6" spans="1:9" x14ac:dyDescent="0.2">
      <c r="A6" s="366"/>
      <c r="B6" s="26"/>
      <c r="C6" s="26"/>
      <c r="D6" s="29"/>
      <c r="E6" s="27"/>
      <c r="F6" s="26"/>
      <c r="G6" s="26"/>
      <c r="H6" s="26"/>
      <c r="I6" s="26"/>
    </row>
    <row r="7" spans="1:9" ht="18.75" customHeight="1" x14ac:dyDescent="0.2">
      <c r="A7" s="555" t="s">
        <v>317</v>
      </c>
      <c r="B7" s="555"/>
      <c r="C7" s="555"/>
      <c r="D7" s="555"/>
      <c r="E7" s="555"/>
      <c r="F7" s="30"/>
      <c r="G7" s="26"/>
      <c r="H7" s="556" t="s">
        <v>319</v>
      </c>
      <c r="I7" s="557"/>
    </row>
    <row r="8" spans="1:9" x14ac:dyDescent="0.2">
      <c r="A8" s="555"/>
      <c r="B8" s="555"/>
      <c r="C8" s="555"/>
      <c r="D8" s="555"/>
      <c r="E8" s="555"/>
      <c r="F8" s="30"/>
      <c r="G8" s="26"/>
      <c r="H8" s="558"/>
      <c r="I8" s="559"/>
    </row>
    <row r="9" spans="1:9" x14ac:dyDescent="0.2">
      <c r="A9" s="555"/>
      <c r="B9" s="555"/>
      <c r="C9" s="555"/>
      <c r="D9" s="555"/>
      <c r="E9" s="555"/>
      <c r="F9" s="30"/>
      <c r="G9" s="26"/>
      <c r="H9" s="558"/>
      <c r="I9" s="559"/>
    </row>
    <row r="10" spans="1:9" x14ac:dyDescent="0.2">
      <c r="A10" s="551" t="s">
        <v>318</v>
      </c>
      <c r="B10" s="552"/>
      <c r="C10" s="552"/>
      <c r="D10" s="552"/>
      <c r="E10" s="552"/>
      <c r="F10" s="552"/>
      <c r="G10" s="26"/>
      <c r="H10" s="558"/>
      <c r="I10" s="559"/>
    </row>
    <row r="11" spans="1:9" x14ac:dyDescent="0.2">
      <c r="A11" s="26"/>
      <c r="B11" s="26"/>
      <c r="C11" s="26"/>
      <c r="D11" s="26"/>
      <c r="E11" s="26"/>
      <c r="F11" s="26"/>
      <c r="G11" s="26"/>
      <c r="H11" s="558"/>
      <c r="I11" s="559"/>
    </row>
    <row r="12" spans="1:9" x14ac:dyDescent="0.2">
      <c r="A12" s="368" t="s">
        <v>320</v>
      </c>
      <c r="B12" s="369"/>
      <c r="C12" s="26"/>
      <c r="D12" s="26"/>
      <c r="E12" s="26"/>
      <c r="F12" s="26"/>
      <c r="G12" s="26"/>
      <c r="H12" s="558"/>
      <c r="I12" s="559"/>
    </row>
    <row r="13" spans="1:9" x14ac:dyDescent="0.2">
      <c r="A13" s="370" t="s">
        <v>321</v>
      </c>
      <c r="B13" s="371"/>
      <c r="C13" s="26"/>
      <c r="D13" s="26"/>
      <c r="E13" s="26"/>
      <c r="F13" s="26"/>
      <c r="G13" s="26"/>
      <c r="H13" s="560"/>
      <c r="I13" s="561"/>
    </row>
    <row r="14" spans="1:9" x14ac:dyDescent="0.2">
      <c r="A14" s="372" t="s">
        <v>322</v>
      </c>
      <c r="B14" s="373"/>
      <c r="C14" s="26"/>
      <c r="D14" s="44"/>
      <c r="E14" s="44"/>
      <c r="F14" s="44"/>
      <c r="G14" s="26"/>
      <c r="H14" s="26"/>
      <c r="I14" s="26"/>
    </row>
    <row r="15" spans="1:9" x14ac:dyDescent="0.2">
      <c r="A15" s="26"/>
      <c r="B15" s="26"/>
      <c r="C15" s="31"/>
      <c r="D15" s="68">
        <f>C5-1</f>
        <v>2023</v>
      </c>
      <c r="E15" s="364" t="str">
        <f>CONCATENATE("",C5-2,"")</f>
        <v>2022</v>
      </c>
      <c r="F15" s="68">
        <f>C5-2</f>
        <v>2022</v>
      </c>
      <c r="H15" s="101" t="s">
        <v>303</v>
      </c>
      <c r="I15" s="96" t="s">
        <v>95</v>
      </c>
    </row>
    <row r="16" spans="1:9" x14ac:dyDescent="0.2">
      <c r="A16" s="25" t="s">
        <v>195</v>
      </c>
      <c r="B16" s="26"/>
      <c r="C16" s="32" t="s">
        <v>52</v>
      </c>
      <c r="D16" s="33" t="s">
        <v>205</v>
      </c>
      <c r="E16" s="33" t="s">
        <v>43</v>
      </c>
      <c r="F16" s="33" t="s">
        <v>37</v>
      </c>
      <c r="H16" s="104" t="str">
        <f>CONCATENATE("",E15," Ad Valorem Tax")</f>
        <v>2022 Ad Valorem Tax</v>
      </c>
      <c r="I16" s="290">
        <v>0</v>
      </c>
    </row>
    <row r="17" spans="1:8" x14ac:dyDescent="0.2">
      <c r="A17" s="26"/>
      <c r="B17" s="34" t="s">
        <v>53</v>
      </c>
      <c r="C17" s="97" t="s">
        <v>185</v>
      </c>
      <c r="D17" s="36">
        <v>3369603</v>
      </c>
      <c r="E17" s="375">
        <v>2214933</v>
      </c>
      <c r="F17" s="37">
        <v>13.987</v>
      </c>
      <c r="H17" s="106">
        <f>IF($I$16&gt;0,ROUND(E17-(E17*$I$16),0),0)</f>
        <v>0</v>
      </c>
    </row>
    <row r="18" spans="1:8" x14ac:dyDescent="0.2">
      <c r="A18" s="26"/>
      <c r="B18" s="34" t="s">
        <v>103</v>
      </c>
      <c r="C18" s="97" t="s">
        <v>196</v>
      </c>
      <c r="D18" s="36"/>
      <c r="E18" s="375"/>
      <c r="F18" s="37"/>
      <c r="H18" s="106">
        <f t="shared" ref="H18:H33" si="0">IF($I$16&gt;0,ROUND(E18-(E18*$I$16),0),0)</f>
        <v>0</v>
      </c>
    </row>
    <row r="19" spans="1:8" x14ac:dyDescent="0.2">
      <c r="A19" s="25"/>
      <c r="B19" s="38" t="s">
        <v>125</v>
      </c>
      <c r="C19" s="96" t="s">
        <v>339</v>
      </c>
      <c r="D19" s="36">
        <v>3539122</v>
      </c>
      <c r="E19" s="375">
        <v>2249882</v>
      </c>
      <c r="F19" s="39">
        <v>14.208</v>
      </c>
      <c r="H19" s="106">
        <f t="shared" si="0"/>
        <v>0</v>
      </c>
    </row>
    <row r="20" spans="1:8" x14ac:dyDescent="0.2">
      <c r="A20" s="26"/>
      <c r="B20" s="374" t="s">
        <v>114</v>
      </c>
      <c r="C20" s="237" t="s">
        <v>950</v>
      </c>
      <c r="D20" s="36">
        <v>20000</v>
      </c>
      <c r="E20" s="375">
        <v>18368</v>
      </c>
      <c r="F20" s="37">
        <v>0.11600000000000001</v>
      </c>
      <c r="H20" s="106">
        <f t="shared" si="0"/>
        <v>0</v>
      </c>
    </row>
    <row r="21" spans="1:8" x14ac:dyDescent="0.2">
      <c r="A21" s="26"/>
      <c r="B21" s="374" t="s">
        <v>932</v>
      </c>
      <c r="C21" s="237" t="s">
        <v>951</v>
      </c>
      <c r="D21" s="36">
        <v>35000</v>
      </c>
      <c r="E21" s="375">
        <v>32600</v>
      </c>
      <c r="F21" s="37">
        <v>0.20599999999999999</v>
      </c>
      <c r="H21" s="106">
        <f t="shared" si="0"/>
        <v>0</v>
      </c>
    </row>
    <row r="22" spans="1:8" x14ac:dyDescent="0.2">
      <c r="A22" s="26"/>
      <c r="B22" s="374" t="s">
        <v>933</v>
      </c>
      <c r="C22" s="237" t="s">
        <v>952</v>
      </c>
      <c r="D22" s="36">
        <v>340970</v>
      </c>
      <c r="E22" s="375">
        <v>296285</v>
      </c>
      <c r="F22" s="37">
        <v>1.871</v>
      </c>
      <c r="H22" s="106">
        <f t="shared" si="0"/>
        <v>0</v>
      </c>
    </row>
    <row r="23" spans="1:8" x14ac:dyDescent="0.2">
      <c r="A23" s="26"/>
      <c r="B23" s="374" t="s">
        <v>934</v>
      </c>
      <c r="C23" s="237" t="s">
        <v>953</v>
      </c>
      <c r="D23" s="36">
        <v>133000</v>
      </c>
      <c r="E23" s="375">
        <v>82249</v>
      </c>
      <c r="F23" s="37">
        <v>0.51900000000000002</v>
      </c>
      <c r="H23" s="106">
        <f t="shared" si="0"/>
        <v>0</v>
      </c>
    </row>
    <row r="24" spans="1:8" x14ac:dyDescent="0.2">
      <c r="A24" s="26"/>
      <c r="B24" s="374" t="s">
        <v>935</v>
      </c>
      <c r="C24" s="237" t="s">
        <v>953</v>
      </c>
      <c r="D24" s="36">
        <v>110000</v>
      </c>
      <c r="E24" s="375">
        <v>65401</v>
      </c>
      <c r="F24" s="37">
        <v>0.41299999999999998</v>
      </c>
      <c r="H24" s="106">
        <f t="shared" si="0"/>
        <v>0</v>
      </c>
    </row>
    <row r="25" spans="1:8" x14ac:dyDescent="0.2">
      <c r="A25" s="26"/>
      <c r="B25" s="374" t="s">
        <v>105</v>
      </c>
      <c r="C25" s="237" t="s">
        <v>954</v>
      </c>
      <c r="D25" s="36">
        <v>91300</v>
      </c>
      <c r="E25" s="375">
        <v>23784</v>
      </c>
      <c r="F25" s="37">
        <v>0.15</v>
      </c>
      <c r="H25" s="106">
        <f t="shared" si="0"/>
        <v>0</v>
      </c>
    </row>
    <row r="26" spans="1:8" x14ac:dyDescent="0.2">
      <c r="A26" s="26"/>
      <c r="B26" s="374" t="s">
        <v>113</v>
      </c>
      <c r="C26" s="237" t="s">
        <v>955</v>
      </c>
      <c r="D26" s="36">
        <v>135182</v>
      </c>
      <c r="E26" s="375">
        <v>126989</v>
      </c>
      <c r="F26" s="37">
        <v>0.80200000000000005</v>
      </c>
      <c r="H26" s="106">
        <f t="shared" si="0"/>
        <v>0</v>
      </c>
    </row>
    <row r="27" spans="1:8" x14ac:dyDescent="0.2">
      <c r="A27" s="26"/>
      <c r="B27" s="374" t="s">
        <v>936</v>
      </c>
      <c r="C27" s="237" t="s">
        <v>956</v>
      </c>
      <c r="D27" s="36">
        <v>398500</v>
      </c>
      <c r="E27" s="375">
        <v>240097</v>
      </c>
      <c r="F27" s="37">
        <v>1.516</v>
      </c>
      <c r="H27" s="106">
        <f t="shared" si="0"/>
        <v>0</v>
      </c>
    </row>
    <row r="28" spans="1:8" x14ac:dyDescent="0.2">
      <c r="A28" s="26"/>
      <c r="B28" s="374" t="s">
        <v>104</v>
      </c>
      <c r="C28" s="237" t="s">
        <v>957</v>
      </c>
      <c r="D28" s="36">
        <v>138000</v>
      </c>
      <c r="E28" s="375">
        <v>79239</v>
      </c>
      <c r="F28" s="37">
        <v>0.5</v>
      </c>
      <c r="H28" s="106">
        <f t="shared" si="0"/>
        <v>0</v>
      </c>
    </row>
    <row r="29" spans="1:8" x14ac:dyDescent="0.2">
      <c r="A29" s="26"/>
      <c r="B29" s="374" t="s">
        <v>116</v>
      </c>
      <c r="C29" s="237" t="s">
        <v>958</v>
      </c>
      <c r="D29" s="36">
        <v>1030000</v>
      </c>
      <c r="E29" s="375">
        <v>141928</v>
      </c>
      <c r="F29" s="37">
        <v>0.89700000000000002</v>
      </c>
      <c r="H29" s="106">
        <f t="shared" si="0"/>
        <v>0</v>
      </c>
    </row>
    <row r="30" spans="1:8" x14ac:dyDescent="0.2">
      <c r="A30" s="26"/>
      <c r="B30" s="374" t="s">
        <v>937</v>
      </c>
      <c r="C30" s="237" t="s">
        <v>959</v>
      </c>
      <c r="D30" s="36">
        <v>29760</v>
      </c>
      <c r="E30" s="42">
        <v>27759</v>
      </c>
      <c r="F30" s="37">
        <v>0.17499999999999999</v>
      </c>
      <c r="H30" s="106">
        <f t="shared" si="0"/>
        <v>0</v>
      </c>
    </row>
    <row r="31" spans="1:8" x14ac:dyDescent="0.2">
      <c r="A31" s="26"/>
      <c r="B31" s="374" t="s">
        <v>938</v>
      </c>
      <c r="C31" s="237" t="s">
        <v>960</v>
      </c>
      <c r="D31" s="36">
        <v>44200</v>
      </c>
      <c r="E31" s="42">
        <v>27751</v>
      </c>
      <c r="F31" s="37">
        <v>0.17599999999999999</v>
      </c>
      <c r="H31" s="106">
        <f t="shared" si="0"/>
        <v>0</v>
      </c>
    </row>
    <row r="32" spans="1:8" x14ac:dyDescent="0.2">
      <c r="A32" s="26"/>
      <c r="B32" s="374" t="s">
        <v>939</v>
      </c>
      <c r="C32" s="237" t="s">
        <v>961</v>
      </c>
      <c r="D32" s="36">
        <v>715000</v>
      </c>
      <c r="E32" s="42">
        <v>223421</v>
      </c>
      <c r="F32" s="37">
        <v>1.411</v>
      </c>
      <c r="H32" s="106">
        <f t="shared" si="0"/>
        <v>0</v>
      </c>
    </row>
    <row r="33" spans="1:8" x14ac:dyDescent="0.2">
      <c r="A33" s="26"/>
      <c r="B33" s="374" t="s">
        <v>940</v>
      </c>
      <c r="C33" s="237" t="s">
        <v>196</v>
      </c>
      <c r="D33" s="36">
        <v>36680</v>
      </c>
      <c r="E33" s="42">
        <v>0</v>
      </c>
      <c r="F33" s="37">
        <v>0</v>
      </c>
      <c r="H33" s="106">
        <f t="shared" si="0"/>
        <v>0</v>
      </c>
    </row>
    <row r="34" spans="1:8" x14ac:dyDescent="0.2">
      <c r="A34" s="43" t="str">
        <f>CONCATENATE("Total Tax Levy Funds Levy Amounts and Levy Rates for ",C5-1," Budget")</f>
        <v>Total Tax Levy Funds Levy Amounts and Levy Rates for 2023 Budget</v>
      </c>
      <c r="B34" s="44"/>
      <c r="C34" s="44"/>
      <c r="D34" s="45"/>
      <c r="E34" s="232">
        <f>SUM(E17:E33)</f>
        <v>5850686</v>
      </c>
      <c r="F34" s="77">
        <f>SUM(F17:F33)</f>
        <v>36.946999999999996</v>
      </c>
    </row>
    <row r="35" spans="1:8" x14ac:dyDescent="0.2">
      <c r="A35" s="25" t="s">
        <v>26</v>
      </c>
      <c r="B35" s="26"/>
      <c r="C35" s="26"/>
      <c r="D35" s="26"/>
      <c r="E35" s="26"/>
      <c r="F35" s="26"/>
    </row>
    <row r="36" spans="1:8" x14ac:dyDescent="0.2">
      <c r="A36" s="26"/>
      <c r="B36" s="374" t="s">
        <v>941</v>
      </c>
      <c r="C36" s="26"/>
      <c r="D36" s="36">
        <v>200000</v>
      </c>
      <c r="E36" s="26"/>
      <c r="F36" s="26"/>
    </row>
    <row r="37" spans="1:8" x14ac:dyDescent="0.2">
      <c r="A37" s="26"/>
      <c r="B37" s="374" t="s">
        <v>942</v>
      </c>
      <c r="C37" s="26"/>
      <c r="D37" s="36">
        <v>75000</v>
      </c>
      <c r="E37" s="26"/>
      <c r="F37" s="26"/>
    </row>
    <row r="38" spans="1:8" x14ac:dyDescent="0.2">
      <c r="A38" s="26"/>
      <c r="B38" s="374" t="s">
        <v>128</v>
      </c>
      <c r="C38" s="26"/>
      <c r="D38" s="36">
        <v>30000</v>
      </c>
      <c r="E38" s="26"/>
      <c r="F38" s="26"/>
    </row>
    <row r="39" spans="1:8" x14ac:dyDescent="0.2">
      <c r="A39" s="26"/>
      <c r="B39" s="374" t="s">
        <v>943</v>
      </c>
      <c r="C39" s="26"/>
      <c r="D39" s="36">
        <v>310000</v>
      </c>
      <c r="E39" s="26"/>
      <c r="F39" s="26"/>
    </row>
    <row r="40" spans="1:8" x14ac:dyDescent="0.2">
      <c r="A40" s="26"/>
      <c r="B40" s="374" t="s">
        <v>944</v>
      </c>
      <c r="C40" s="26"/>
      <c r="D40" s="36">
        <v>633000</v>
      </c>
      <c r="E40" s="26"/>
      <c r="F40" s="26"/>
    </row>
    <row r="41" spans="1:8" x14ac:dyDescent="0.2">
      <c r="A41" s="26"/>
      <c r="B41" s="374" t="s">
        <v>85</v>
      </c>
      <c r="C41" s="26"/>
      <c r="D41" s="36">
        <v>24200</v>
      </c>
      <c r="E41" s="26"/>
      <c r="F41" s="26"/>
    </row>
    <row r="42" spans="1:8" x14ac:dyDescent="0.2">
      <c r="A42" s="26"/>
      <c r="B42" s="374" t="s">
        <v>945</v>
      </c>
      <c r="C42" s="26"/>
      <c r="D42" s="36">
        <v>1400000</v>
      </c>
      <c r="E42" s="26"/>
      <c r="F42" s="26"/>
    </row>
    <row r="43" spans="1:8" x14ac:dyDescent="0.2">
      <c r="A43" s="26"/>
      <c r="B43" s="37" t="s">
        <v>946</v>
      </c>
      <c r="C43" s="26"/>
      <c r="D43" s="36">
        <v>200000</v>
      </c>
      <c r="E43" s="26"/>
      <c r="F43" s="26"/>
    </row>
    <row r="44" spans="1:8" x14ac:dyDescent="0.2">
      <c r="A44" s="26"/>
      <c r="B44" s="37" t="s">
        <v>947</v>
      </c>
      <c r="C44" s="26"/>
      <c r="D44" s="36">
        <v>100000</v>
      </c>
      <c r="E44" s="26"/>
      <c r="F44" s="26"/>
    </row>
    <row r="45" spans="1:8" x14ac:dyDescent="0.2">
      <c r="A45" s="26"/>
      <c r="B45" s="37" t="s">
        <v>948</v>
      </c>
      <c r="C45" s="26"/>
      <c r="D45" s="36"/>
      <c r="E45" s="26"/>
      <c r="F45" s="26"/>
    </row>
    <row r="46" spans="1:8" x14ac:dyDescent="0.2">
      <c r="A46" s="26"/>
      <c r="B46" s="37" t="s">
        <v>949</v>
      </c>
      <c r="C46" s="26"/>
      <c r="D46" s="36">
        <v>1476211</v>
      </c>
      <c r="E46" s="26"/>
      <c r="F46" s="26"/>
    </row>
    <row r="47" spans="1:8" x14ac:dyDescent="0.2">
      <c r="A47" s="26"/>
      <c r="B47" s="37"/>
      <c r="C47" s="26"/>
      <c r="D47" s="36"/>
      <c r="E47" s="26"/>
      <c r="F47" s="26"/>
    </row>
    <row r="48" spans="1:8" x14ac:dyDescent="0.2">
      <c r="A48" s="26"/>
      <c r="B48" s="37"/>
      <c r="C48" s="26"/>
      <c r="D48" s="36"/>
      <c r="E48" s="26"/>
      <c r="F48" s="26"/>
    </row>
    <row r="49" spans="1:6" x14ac:dyDescent="0.2">
      <c r="A49" s="26"/>
      <c r="B49" s="37"/>
      <c r="C49" s="26"/>
      <c r="D49" s="36"/>
      <c r="E49" s="26"/>
      <c r="F49" s="26"/>
    </row>
    <row r="50" spans="1:6" x14ac:dyDescent="0.2">
      <c r="A50" s="26"/>
      <c r="B50" s="37"/>
      <c r="C50" s="26"/>
      <c r="D50" s="36"/>
      <c r="E50" s="26"/>
      <c r="F50" s="26"/>
    </row>
    <row r="51" spans="1:6" x14ac:dyDescent="0.2">
      <c r="A51" s="26"/>
      <c r="B51" s="37"/>
      <c r="C51" s="26"/>
      <c r="D51" s="36"/>
      <c r="E51" s="26"/>
      <c r="F51" s="26"/>
    </row>
    <row r="52" spans="1:6" x14ac:dyDescent="0.2">
      <c r="A52" s="43" t="str">
        <f>CONCATENATE("Total Expenditures for ",C5-1," Budgeted Year")</f>
        <v>Total Expenditures for 2023 Budgeted Year</v>
      </c>
      <c r="B52" s="46"/>
      <c r="C52" s="47"/>
      <c r="D52" s="38">
        <f>SUM(D17:D33,D36:D51)</f>
        <v>14614728</v>
      </c>
      <c r="E52" s="26"/>
      <c r="F52" s="26"/>
    </row>
    <row r="53" spans="1:6" x14ac:dyDescent="0.2">
      <c r="A53" s="25"/>
      <c r="B53" s="48"/>
      <c r="C53" s="26"/>
      <c r="D53" s="49"/>
      <c r="E53" s="26"/>
      <c r="F53" s="26"/>
    </row>
    <row r="54" spans="1:6" x14ac:dyDescent="0.2">
      <c r="A54" s="26" t="s">
        <v>12</v>
      </c>
      <c r="B54" s="48"/>
      <c r="C54" s="26"/>
      <c r="D54" s="26"/>
      <c r="E54" s="26"/>
      <c r="F54" s="26"/>
    </row>
    <row r="55" spans="1:6" x14ac:dyDescent="0.2">
      <c r="A55" s="26">
        <v>1</v>
      </c>
      <c r="B55" s="37"/>
      <c r="C55" s="26"/>
      <c r="D55" s="26"/>
      <c r="E55" s="26"/>
      <c r="F55" s="26"/>
    </row>
    <row r="56" spans="1:6" x14ac:dyDescent="0.2">
      <c r="A56" s="26">
        <v>2</v>
      </c>
      <c r="B56" s="37"/>
      <c r="C56" s="26"/>
      <c r="D56" s="26"/>
      <c r="E56" s="26"/>
      <c r="F56" s="26"/>
    </row>
    <row r="57" spans="1:6" x14ac:dyDescent="0.2">
      <c r="A57" s="26">
        <v>3</v>
      </c>
      <c r="B57" s="37"/>
      <c r="C57" s="26"/>
      <c r="D57" s="26"/>
      <c r="E57" s="26"/>
      <c r="F57" s="26"/>
    </row>
    <row r="58" spans="1:6" x14ac:dyDescent="0.2">
      <c r="A58" s="26">
        <v>4</v>
      </c>
      <c r="B58" s="37"/>
      <c r="C58" s="26"/>
      <c r="D58" s="26"/>
      <c r="E58" s="26"/>
      <c r="F58" s="26"/>
    </row>
    <row r="59" spans="1:6" x14ac:dyDescent="0.2">
      <c r="A59" s="26">
        <v>5</v>
      </c>
      <c r="B59" s="37"/>
      <c r="C59" s="26"/>
      <c r="D59" s="26"/>
      <c r="E59" s="26"/>
      <c r="F59" s="26"/>
    </row>
    <row r="60" spans="1:6" x14ac:dyDescent="0.2">
      <c r="A60" s="26" t="s">
        <v>21</v>
      </c>
      <c r="B60" s="48"/>
      <c r="C60" s="26"/>
      <c r="D60" s="26"/>
      <c r="E60" s="26"/>
      <c r="F60" s="26"/>
    </row>
    <row r="61" spans="1:6" x14ac:dyDescent="0.2">
      <c r="A61" s="26">
        <v>1</v>
      </c>
      <c r="B61" s="37"/>
      <c r="C61" s="26"/>
      <c r="D61" s="26"/>
      <c r="E61" s="26"/>
      <c r="F61" s="26"/>
    </row>
    <row r="62" spans="1:6" x14ac:dyDescent="0.2">
      <c r="A62" s="26">
        <v>2</v>
      </c>
      <c r="B62" s="37"/>
      <c r="C62" s="26"/>
      <c r="D62" s="26"/>
      <c r="E62" s="26"/>
      <c r="F62" s="26"/>
    </row>
    <row r="63" spans="1:6" x14ac:dyDescent="0.2">
      <c r="A63" s="26">
        <v>3</v>
      </c>
      <c r="B63" s="37"/>
      <c r="C63" s="26"/>
      <c r="D63" s="26"/>
      <c r="E63" s="26"/>
      <c r="F63" s="26"/>
    </row>
    <row r="64" spans="1:6" x14ac:dyDescent="0.2">
      <c r="A64" s="26">
        <v>4</v>
      </c>
      <c r="B64" s="37"/>
      <c r="C64" s="26"/>
      <c r="D64" s="26"/>
      <c r="E64" s="26"/>
      <c r="F64" s="26"/>
    </row>
    <row r="65" spans="1:6" x14ac:dyDescent="0.2">
      <c r="A65" s="26">
        <v>5</v>
      </c>
      <c r="B65" s="37"/>
      <c r="C65" s="26"/>
      <c r="D65" s="26"/>
      <c r="E65" s="26"/>
      <c r="F65" s="26"/>
    </row>
    <row r="66" spans="1:6" x14ac:dyDescent="0.2">
      <c r="A66" s="26" t="s">
        <v>23</v>
      </c>
      <c r="B66" s="48"/>
      <c r="C66" s="26"/>
      <c r="D66" s="26"/>
      <c r="E66" s="26"/>
      <c r="F66" s="26"/>
    </row>
    <row r="67" spans="1:6" x14ac:dyDescent="0.2">
      <c r="A67" s="26">
        <v>1</v>
      </c>
      <c r="B67" s="37"/>
      <c r="C67" s="26"/>
      <c r="D67" s="26"/>
      <c r="E67" s="26"/>
      <c r="F67" s="26"/>
    </row>
    <row r="68" spans="1:6" x14ac:dyDescent="0.2">
      <c r="A68" s="26">
        <v>2</v>
      </c>
      <c r="B68" s="37"/>
      <c r="C68" s="26"/>
      <c r="D68" s="26"/>
      <c r="E68" s="26"/>
      <c r="F68" s="26"/>
    </row>
    <row r="69" spans="1:6" x14ac:dyDescent="0.2">
      <c r="A69" s="26">
        <v>3</v>
      </c>
      <c r="B69" s="37"/>
      <c r="C69" s="26"/>
      <c r="D69" s="26"/>
      <c r="E69" s="26"/>
      <c r="F69" s="26"/>
    </row>
    <row r="70" spans="1:6" x14ac:dyDescent="0.2">
      <c r="A70" s="26">
        <v>4</v>
      </c>
      <c r="B70" s="37"/>
      <c r="C70" s="26"/>
      <c r="D70" s="26"/>
      <c r="E70" s="26"/>
      <c r="F70" s="26"/>
    </row>
    <row r="71" spans="1:6" x14ac:dyDescent="0.2">
      <c r="A71" s="26">
        <v>5</v>
      </c>
      <c r="B71" s="37"/>
      <c r="C71" s="26"/>
      <c r="D71" s="26"/>
      <c r="E71" s="26"/>
      <c r="F71" s="26"/>
    </row>
    <row r="72" spans="1:6" x14ac:dyDescent="0.2">
      <c r="A72" s="26" t="s">
        <v>25</v>
      </c>
      <c r="B72" s="48"/>
      <c r="C72" s="26"/>
      <c r="D72" s="26"/>
      <c r="E72" s="26"/>
      <c r="F72" s="26"/>
    </row>
    <row r="73" spans="1:6" x14ac:dyDescent="0.2">
      <c r="A73" s="26">
        <v>1</v>
      </c>
      <c r="B73" s="37"/>
      <c r="C73" s="26"/>
      <c r="D73" s="26"/>
      <c r="E73" s="26"/>
      <c r="F73" s="26"/>
    </row>
    <row r="74" spans="1:6" x14ac:dyDescent="0.2">
      <c r="A74" s="26">
        <v>2</v>
      </c>
      <c r="B74" s="37"/>
      <c r="C74" s="26"/>
      <c r="D74" s="26"/>
      <c r="E74" s="26"/>
      <c r="F74" s="26"/>
    </row>
    <row r="75" spans="1:6" x14ac:dyDescent="0.2">
      <c r="A75" s="26">
        <v>3</v>
      </c>
      <c r="B75" s="37"/>
      <c r="C75" s="26"/>
      <c r="D75" s="26"/>
      <c r="E75" s="26"/>
      <c r="F75" s="26"/>
    </row>
    <row r="76" spans="1:6" x14ac:dyDescent="0.2">
      <c r="A76" s="26">
        <v>4</v>
      </c>
      <c r="B76" s="37"/>
      <c r="C76" s="26"/>
      <c r="D76" s="26"/>
      <c r="E76" s="26"/>
      <c r="F76" s="26"/>
    </row>
    <row r="77" spans="1:6" x14ac:dyDescent="0.2">
      <c r="A77" s="26">
        <v>5</v>
      </c>
      <c r="B77" s="37"/>
      <c r="C77" s="26"/>
      <c r="D77" s="26"/>
      <c r="E77" s="26"/>
      <c r="F77" s="26"/>
    </row>
    <row r="78" spans="1:6" x14ac:dyDescent="0.2">
      <c r="A78" s="43" t="str">
        <f>CONCATENATE("County's Final Assessed Valuation for ",C5-1," (November 1,",C5-2," Abstract):")</f>
        <v>County's Final Assessed Valuation for 2023 (November 1,2022 Abstract):</v>
      </c>
      <c r="B78" s="44"/>
      <c r="C78" s="44"/>
      <c r="D78" s="44"/>
      <c r="E78" s="47"/>
      <c r="F78" s="42">
        <v>158358266</v>
      </c>
    </row>
    <row r="79" spans="1:6" x14ac:dyDescent="0.2">
      <c r="A79" s="25"/>
      <c r="B79" s="26"/>
      <c r="C79" s="26"/>
      <c r="D79" s="26"/>
      <c r="E79" s="26"/>
      <c r="F79" s="26"/>
    </row>
    <row r="80" spans="1:6" x14ac:dyDescent="0.2">
      <c r="A80" s="26"/>
      <c r="B80" s="26"/>
      <c r="C80" s="26"/>
      <c r="D80" s="26"/>
      <c r="E80" s="26"/>
      <c r="F80" s="26"/>
    </row>
    <row r="81" spans="1:6" x14ac:dyDescent="0.2">
      <c r="A81" s="343" t="str">
        <f>CONCATENATE("From the ",C5-1," Budget:")</f>
        <v>From the 2023 Budget:</v>
      </c>
      <c r="B81" s="342"/>
      <c r="C81" s="26"/>
      <c r="D81" s="549" t="str">
        <f>CONCATENATE("",C5-3," Tax Rate (",C5-2," Column)")</f>
        <v>2021 Tax Rate (2022 Column)</v>
      </c>
      <c r="E81" s="26"/>
      <c r="F81" s="26"/>
    </row>
    <row r="82" spans="1:6" x14ac:dyDescent="0.2">
      <c r="A82" s="344" t="s">
        <v>51</v>
      </c>
      <c r="B82" s="345"/>
      <c r="C82" s="26"/>
      <c r="D82" s="550"/>
      <c r="E82" s="26"/>
      <c r="F82" s="26"/>
    </row>
    <row r="83" spans="1:6" x14ac:dyDescent="0.2">
      <c r="A83" s="26"/>
      <c r="B83" s="72" t="str">
        <f t="shared" ref="B83:B99" si="1">B17</f>
        <v>General</v>
      </c>
      <c r="C83" s="26"/>
      <c r="D83" s="37">
        <v>13.65</v>
      </c>
      <c r="E83" s="26"/>
      <c r="F83" s="26"/>
    </row>
    <row r="84" spans="1:6" x14ac:dyDescent="0.2">
      <c r="A84" s="26"/>
      <c r="B84" s="50" t="str">
        <f t="shared" si="1"/>
        <v>Debt Service</v>
      </c>
      <c r="C84" s="26"/>
      <c r="D84" s="37"/>
      <c r="E84" s="26"/>
      <c r="F84" s="26"/>
    </row>
    <row r="85" spans="1:6" x14ac:dyDescent="0.2">
      <c r="A85" s="26"/>
      <c r="B85" s="50" t="str">
        <f t="shared" si="1"/>
        <v>Road &amp; Bridge</v>
      </c>
      <c r="C85" s="26"/>
      <c r="D85" s="37">
        <v>13.973000000000001</v>
      </c>
      <c r="E85" s="26"/>
      <c r="F85" s="26"/>
    </row>
    <row r="86" spans="1:6" x14ac:dyDescent="0.2">
      <c r="A86" s="26"/>
      <c r="B86" s="50" t="str">
        <f t="shared" si="1"/>
        <v>Fair</v>
      </c>
      <c r="C86" s="26"/>
      <c r="D86" s="37">
        <v>0.126</v>
      </c>
      <c r="E86" s="26"/>
      <c r="F86" s="26"/>
    </row>
    <row r="87" spans="1:6" x14ac:dyDescent="0.2">
      <c r="A87" s="26"/>
      <c r="B87" s="50" t="str">
        <f t="shared" si="1"/>
        <v>Conservation</v>
      </c>
      <c r="C87" s="26"/>
      <c r="D87" s="37">
        <v>0.221</v>
      </c>
      <c r="E87" s="26"/>
      <c r="F87" s="26"/>
    </row>
    <row r="88" spans="1:6" x14ac:dyDescent="0.2">
      <c r="A88" s="26"/>
      <c r="B88" s="50" t="str">
        <f t="shared" si="1"/>
        <v>Appraiser</v>
      </c>
      <c r="C88" s="26"/>
      <c r="D88" s="37">
        <v>1.41</v>
      </c>
      <c r="E88" s="26"/>
      <c r="F88" s="26"/>
    </row>
    <row r="89" spans="1:6" x14ac:dyDescent="0.2">
      <c r="A89" s="26"/>
      <c r="B89" s="50" t="str">
        <f t="shared" si="1"/>
        <v>Noxious Weed</v>
      </c>
      <c r="C89" s="26"/>
      <c r="D89" s="37">
        <v>0.50900000000000001</v>
      </c>
      <c r="E89" s="26"/>
      <c r="F89" s="26"/>
    </row>
    <row r="90" spans="1:6" x14ac:dyDescent="0.2">
      <c r="A90" s="26"/>
      <c r="B90" s="50" t="str">
        <f t="shared" si="1"/>
        <v>Noxious Weed Chemical</v>
      </c>
      <c r="C90" s="26"/>
      <c r="D90" s="37">
        <v>0.32300000000000001</v>
      </c>
      <c r="E90" s="26"/>
      <c r="F90" s="26"/>
    </row>
    <row r="91" spans="1:6" x14ac:dyDescent="0.2">
      <c r="A91" s="26"/>
      <c r="B91" s="50" t="str">
        <f t="shared" si="1"/>
        <v>Election</v>
      </c>
      <c r="C91" s="26"/>
      <c r="D91" s="37">
        <v>0.30099999999999999</v>
      </c>
      <c r="E91" s="26"/>
      <c r="F91" s="26"/>
    </row>
    <row r="92" spans="1:6" x14ac:dyDescent="0.2">
      <c r="A92" s="26"/>
      <c r="B92" s="50" t="str">
        <f t="shared" si="1"/>
        <v>Extension Council</v>
      </c>
      <c r="C92" s="26"/>
      <c r="D92" s="37">
        <v>0.79800000000000004</v>
      </c>
      <c r="E92" s="26"/>
      <c r="F92" s="26"/>
    </row>
    <row r="93" spans="1:6" x14ac:dyDescent="0.2">
      <c r="A93" s="26"/>
      <c r="B93" s="50" t="str">
        <f t="shared" si="1"/>
        <v>Elderly</v>
      </c>
      <c r="C93" s="26"/>
      <c r="D93" s="37">
        <v>1.5860000000000001</v>
      </c>
      <c r="E93" s="26"/>
      <c r="F93" s="26"/>
    </row>
    <row r="94" spans="1:6" x14ac:dyDescent="0.2">
      <c r="A94" s="26"/>
      <c r="B94" s="50" t="str">
        <f t="shared" si="1"/>
        <v>Economic Development</v>
      </c>
      <c r="C94" s="26"/>
      <c r="D94" s="37">
        <v>0.52100000000000002</v>
      </c>
      <c r="E94" s="26"/>
      <c r="F94" s="26"/>
    </row>
    <row r="95" spans="1:6" x14ac:dyDescent="0.2">
      <c r="A95" s="26"/>
      <c r="B95" s="50" t="str">
        <f t="shared" si="1"/>
        <v>Health</v>
      </c>
      <c r="C95" s="26"/>
      <c r="D95" s="37">
        <v>0.93400000000000005</v>
      </c>
      <c r="E95" s="26"/>
      <c r="F95" s="26"/>
    </row>
    <row r="96" spans="1:6" x14ac:dyDescent="0.2">
      <c r="A96" s="26"/>
      <c r="B96" s="50" t="str">
        <f t="shared" si="1"/>
        <v>Mental Health Workshop</v>
      </c>
      <c r="C96" s="26"/>
      <c r="D96" s="37">
        <v>0.187</v>
      </c>
      <c r="E96" s="26"/>
      <c r="F96" s="26"/>
    </row>
    <row r="97" spans="1:6" x14ac:dyDescent="0.2">
      <c r="A97" s="26"/>
      <c r="B97" s="50" t="str">
        <f t="shared" si="1"/>
        <v>Community Mental Health</v>
      </c>
      <c r="C97" s="26"/>
      <c r="D97" s="37">
        <v>0.28100000000000003</v>
      </c>
      <c r="E97" s="26"/>
      <c r="F97" s="26"/>
    </row>
    <row r="98" spans="1:6" x14ac:dyDescent="0.2">
      <c r="A98" s="26"/>
      <c r="B98" s="50" t="str">
        <f t="shared" si="1"/>
        <v>Employee Benefit</v>
      </c>
      <c r="C98" s="26"/>
      <c r="D98" s="37">
        <v>3.6850000000000001</v>
      </c>
      <c r="E98" s="26"/>
      <c r="F98" s="26"/>
    </row>
    <row r="99" spans="1:6" x14ac:dyDescent="0.2">
      <c r="A99" s="26"/>
      <c r="B99" s="50" t="str">
        <f t="shared" si="1"/>
        <v>Bond &amp; Interest</v>
      </c>
      <c r="C99" s="26"/>
      <c r="D99" s="37"/>
      <c r="E99" s="26"/>
      <c r="F99" s="26"/>
    </row>
    <row r="100" spans="1:6" x14ac:dyDescent="0.2">
      <c r="A100" s="26"/>
      <c r="B100" s="50" t="str">
        <f t="shared" ref="B100:B106" si="2">B36</f>
        <v>Capital Improvement</v>
      </c>
      <c r="C100" s="26"/>
      <c r="D100" s="37"/>
      <c r="E100" s="26"/>
      <c r="F100" s="26"/>
    </row>
    <row r="101" spans="1:6" x14ac:dyDescent="0.2">
      <c r="A101" s="26"/>
      <c r="B101" s="50" t="str">
        <f t="shared" si="2"/>
        <v>Diversion</v>
      </c>
      <c r="C101" s="26"/>
      <c r="D101" s="37"/>
      <c r="E101" s="26"/>
      <c r="F101" s="26"/>
    </row>
    <row r="102" spans="1:6" x14ac:dyDescent="0.2">
      <c r="A102" s="26"/>
      <c r="B102" s="50" t="str">
        <f t="shared" si="2"/>
        <v>Solid Waste</v>
      </c>
      <c r="C102" s="26"/>
      <c r="D102" s="37"/>
      <c r="E102" s="26"/>
      <c r="F102" s="26"/>
    </row>
    <row r="103" spans="1:6" x14ac:dyDescent="0.2">
      <c r="A103" s="26"/>
      <c r="B103" s="50" t="str">
        <f t="shared" si="2"/>
        <v>Central Kitchen</v>
      </c>
      <c r="C103" s="26"/>
      <c r="D103" s="37"/>
      <c r="E103" s="26"/>
      <c r="F103" s="26"/>
    </row>
    <row r="104" spans="1:6" x14ac:dyDescent="0.2">
      <c r="A104" s="26"/>
      <c r="B104" s="50" t="str">
        <f t="shared" si="2"/>
        <v>Title III</v>
      </c>
      <c r="C104" s="26"/>
      <c r="D104" s="37"/>
      <c r="E104" s="26"/>
      <c r="F104" s="26"/>
    </row>
    <row r="105" spans="1:6" x14ac:dyDescent="0.2">
      <c r="A105" s="26"/>
      <c r="B105" s="50" t="str">
        <f t="shared" si="2"/>
        <v>Local Alcoholic Liquor</v>
      </c>
      <c r="C105" s="26"/>
      <c r="D105" s="37"/>
      <c r="E105" s="26"/>
      <c r="F105" s="26"/>
    </row>
    <row r="106" spans="1:6" x14ac:dyDescent="0.2">
      <c r="A106" s="26"/>
      <c r="B106" s="50" t="str">
        <f t="shared" si="2"/>
        <v>New Sales Tax</v>
      </c>
      <c r="C106" s="26"/>
      <c r="D106" s="37"/>
      <c r="E106" s="26"/>
      <c r="F106" s="26"/>
    </row>
    <row r="107" spans="1:6" x14ac:dyDescent="0.2">
      <c r="A107" s="26"/>
      <c r="B107" s="50" t="e">
        <f>#REF!</f>
        <v>#REF!</v>
      </c>
      <c r="C107" s="26"/>
      <c r="D107" s="37"/>
      <c r="E107" s="26"/>
      <c r="F107" s="26"/>
    </row>
    <row r="108" spans="1:6" x14ac:dyDescent="0.2">
      <c r="A108" s="44" t="s">
        <v>54</v>
      </c>
      <c r="B108" s="44"/>
      <c r="C108" s="47"/>
      <c r="D108" s="77">
        <f>SUM(D83:D107)</f>
        <v>38.504999999999995</v>
      </c>
      <c r="E108" s="26"/>
      <c r="F108" s="26"/>
    </row>
    <row r="109" spans="1:6" x14ac:dyDescent="0.2">
      <c r="A109" s="26"/>
      <c r="B109" s="26"/>
      <c r="C109" s="26"/>
      <c r="D109" s="26"/>
      <c r="E109" s="26"/>
      <c r="F109" s="26"/>
    </row>
    <row r="110" spans="1:6" x14ac:dyDescent="0.2">
      <c r="A110" s="346" t="str">
        <f>CONCATENATE("Total Tax Levied (",C5-2," budget column)")</f>
        <v>Total Tax Levied (2022 budget column)</v>
      </c>
      <c r="B110" s="347"/>
      <c r="C110" s="44"/>
      <c r="D110" s="44"/>
      <c r="E110" s="47"/>
      <c r="F110" s="42">
        <v>5850155</v>
      </c>
    </row>
    <row r="111" spans="1:6" x14ac:dyDescent="0.2">
      <c r="A111" s="346" t="str">
        <f>CONCATENATE("Assessed Valuation  (",C5-2," budget column)")</f>
        <v>Assessed Valuation  (2022 budget column)</v>
      </c>
      <c r="B111" s="347"/>
      <c r="C111" s="51"/>
      <c r="D111" s="51"/>
      <c r="E111" s="45"/>
      <c r="F111" s="42">
        <v>151940521</v>
      </c>
    </row>
    <row r="112" spans="1:6" x14ac:dyDescent="0.2">
      <c r="A112" s="25"/>
      <c r="B112" s="26"/>
      <c r="C112" s="26"/>
      <c r="D112" s="26"/>
      <c r="E112" s="26"/>
      <c r="F112" s="52"/>
    </row>
    <row r="113" spans="1:6" x14ac:dyDescent="0.2">
      <c r="A113" s="348" t="str">
        <f>CONCATENATE("From the ",C5-1," Budget, Budget Summary Page:")</f>
        <v>From the 2023 Budget, Budget Summary Page:</v>
      </c>
      <c r="B113" s="349"/>
      <c r="C113" s="26"/>
      <c r="D113" s="26"/>
      <c r="E113" s="26"/>
      <c r="F113" s="26"/>
    </row>
    <row r="114" spans="1:6" x14ac:dyDescent="0.2">
      <c r="A114" s="350" t="s">
        <v>0</v>
      </c>
      <c r="B114" s="351"/>
      <c r="C114" s="53"/>
      <c r="D114" s="54">
        <f>C5-3</f>
        <v>2021</v>
      </c>
      <c r="E114" s="55">
        <f>C5-2</f>
        <v>2022</v>
      </c>
      <c r="F114" s="26"/>
    </row>
    <row r="115" spans="1:6" x14ac:dyDescent="0.2">
      <c r="A115" s="352" t="s">
        <v>1</v>
      </c>
      <c r="B115" s="353"/>
      <c r="C115" s="53"/>
      <c r="D115" s="36"/>
      <c r="E115" s="36"/>
      <c r="F115" s="26"/>
    </row>
    <row r="116" spans="1:6" s="56" customFormat="1" x14ac:dyDescent="0.2">
      <c r="A116" s="354" t="s">
        <v>2</v>
      </c>
      <c r="B116" s="355"/>
      <c r="C116" s="53"/>
      <c r="D116" s="36"/>
      <c r="E116" s="36"/>
      <c r="F116" s="53"/>
    </row>
    <row r="117" spans="1:6" s="56" customFormat="1" x14ac:dyDescent="0.2">
      <c r="A117" s="354" t="s">
        <v>3</v>
      </c>
      <c r="B117" s="355"/>
      <c r="C117" s="53"/>
      <c r="D117" s="36"/>
      <c r="E117" s="36"/>
      <c r="F117" s="53"/>
    </row>
    <row r="118" spans="1:6" s="56" customFormat="1" x14ac:dyDescent="0.2">
      <c r="A118" s="354" t="s">
        <v>4</v>
      </c>
      <c r="B118" s="355"/>
      <c r="C118" s="53"/>
      <c r="D118" s="36"/>
      <c r="E118" s="36"/>
      <c r="F118" s="53"/>
    </row>
    <row r="119" spans="1:6" s="56" customFormat="1" x14ac:dyDescent="0.2"/>
  </sheetData>
  <mergeCells count="6">
    <mergeCell ref="D81:D82"/>
    <mergeCell ref="A10:F10"/>
    <mergeCell ref="A1:F1"/>
    <mergeCell ref="A7:E9"/>
    <mergeCell ref="H7:I13"/>
    <mergeCell ref="C3:E3"/>
  </mergeCells>
  <phoneticPr fontId="0" type="noConversion"/>
  <pageMargins left="0.5" right="0.5" top="1" bottom="0.5" header="0.5" footer="0.25"/>
  <pageSetup scale="96" fitToHeight="3"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pageSetUpPr fitToPage="1"/>
  </sheetPr>
  <dimension ref="B1:K101"/>
  <sheetViews>
    <sheetView zoomScaleNormal="100"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inputPrYr!B24</f>
        <v>Noxious Weed Chemical</v>
      </c>
      <c r="C5" s="231" t="str">
        <f>CONCATENATE("Actual for ",E1-2,"")</f>
        <v>Actual for 2022</v>
      </c>
      <c r="D5" s="231" t="str">
        <f>CONCATENATE("Estimate for ",E1-1,"")</f>
        <v>Estimate for 2023</v>
      </c>
      <c r="E5" s="136" t="str">
        <f>CONCATENATE("Year for ",E1,"")</f>
        <v>Year for 2024</v>
      </c>
    </row>
    <row r="6" spans="2:10" x14ac:dyDescent="0.2">
      <c r="B6" s="60" t="s">
        <v>182</v>
      </c>
      <c r="C6" s="229">
        <v>102773</v>
      </c>
      <c r="D6" s="232">
        <f>C35</f>
        <v>109767</v>
      </c>
      <c r="E6" s="106">
        <f>D35</f>
        <v>78047</v>
      </c>
    </row>
    <row r="7" spans="2:10" x14ac:dyDescent="0.2">
      <c r="B7" s="128" t="s">
        <v>184</v>
      </c>
      <c r="C7" s="139"/>
      <c r="D7" s="139"/>
      <c r="E7" s="50"/>
    </row>
    <row r="8" spans="2:10" x14ac:dyDescent="0.2">
      <c r="B8" s="60" t="s">
        <v>81</v>
      </c>
      <c r="C8" s="229">
        <v>48896</v>
      </c>
      <c r="D8" s="232">
        <f>IF(inputPrYr!H24&gt;0,inputPrYr!H24,inputPrYr!E24)</f>
        <v>65401</v>
      </c>
      <c r="E8" s="165" t="s">
        <v>66</v>
      </c>
    </row>
    <row r="9" spans="2:10" x14ac:dyDescent="0.2">
      <c r="B9" s="60" t="s">
        <v>82</v>
      </c>
      <c r="C9" s="229">
        <v>282</v>
      </c>
      <c r="D9" s="229">
        <v>410</v>
      </c>
      <c r="E9" s="42"/>
      <c r="G9" s="652" t="str">
        <f>CONCATENATE("Desired Carryover Into ",E1+1,"")</f>
        <v>Desired Carryover Into 2025</v>
      </c>
      <c r="H9" s="653"/>
      <c r="I9" s="653"/>
      <c r="J9" s="654"/>
    </row>
    <row r="10" spans="2:10" x14ac:dyDescent="0.2">
      <c r="B10" s="60" t="s">
        <v>83</v>
      </c>
      <c r="C10" s="229">
        <v>713</v>
      </c>
      <c r="D10" s="229">
        <v>2881</v>
      </c>
      <c r="E10" s="106">
        <f>Mvalloc!D14</f>
        <v>3720</v>
      </c>
      <c r="G10" s="292"/>
      <c r="H10" s="293"/>
      <c r="I10" s="294"/>
      <c r="J10" s="295"/>
    </row>
    <row r="11" spans="2:10" x14ac:dyDescent="0.2">
      <c r="B11" s="60" t="s">
        <v>84</v>
      </c>
      <c r="C11" s="229">
        <v>16</v>
      </c>
      <c r="D11" s="229">
        <v>67</v>
      </c>
      <c r="E11" s="106">
        <f>Mvalloc!E14</f>
        <v>84</v>
      </c>
      <c r="G11" s="296" t="s">
        <v>284</v>
      </c>
      <c r="H11" s="294"/>
      <c r="I11" s="294"/>
      <c r="J11" s="297">
        <v>0</v>
      </c>
    </row>
    <row r="12" spans="2:10" x14ac:dyDescent="0.2">
      <c r="B12" s="139" t="s">
        <v>163</v>
      </c>
      <c r="C12" s="229"/>
      <c r="D12" s="229">
        <v>519</v>
      </c>
      <c r="E12" s="106">
        <f>Mvalloc!F14</f>
        <v>699</v>
      </c>
      <c r="G12" s="292" t="s">
        <v>285</v>
      </c>
      <c r="H12" s="293"/>
      <c r="I12" s="293"/>
      <c r="J12" s="298" t="str">
        <f>IF(J11=0,"",ROUND((J11+E41-G24)/inputOth!E6*1000,3)-G29)</f>
        <v/>
      </c>
    </row>
    <row r="13" spans="2:10" x14ac:dyDescent="0.2">
      <c r="B13" s="137" t="s">
        <v>335</v>
      </c>
      <c r="C13" s="229">
        <v>40</v>
      </c>
      <c r="D13" s="229">
        <v>169</v>
      </c>
      <c r="E13" s="106">
        <f>Mvalloc!G14</f>
        <v>216</v>
      </c>
      <c r="G13" s="299" t="str">
        <f>CONCATENATE("",E1," Tot Exp/Non-Appr Must Be:")</f>
        <v>2024 Tot Exp/Non-Appr Must Be:</v>
      </c>
      <c r="H13" s="300"/>
      <c r="I13" s="301"/>
      <c r="J13" s="302">
        <f>IF(J11&gt;0,IF(E38&lt;E23,IF(J11=G24,E38,((J11-G24)*(1-D40))+E23),E38+(J11-G24)),0)</f>
        <v>0</v>
      </c>
    </row>
    <row r="14" spans="2:10" x14ac:dyDescent="0.2">
      <c r="B14" s="137" t="s">
        <v>336</v>
      </c>
      <c r="C14" s="229"/>
      <c r="D14" s="229">
        <v>34</v>
      </c>
      <c r="E14" s="106">
        <f>Mvalloc!H14</f>
        <v>44</v>
      </c>
      <c r="G14" s="303" t="s">
        <v>305</v>
      </c>
      <c r="H14" s="304"/>
      <c r="I14" s="304"/>
      <c r="J14" s="305">
        <f>IF(J11&gt;0,J13-E38,0)</f>
        <v>0</v>
      </c>
    </row>
    <row r="15" spans="2:10" x14ac:dyDescent="0.25">
      <c r="B15" s="150" t="s">
        <v>1010</v>
      </c>
      <c r="C15" s="229">
        <v>29622</v>
      </c>
      <c r="D15" s="229">
        <v>10000</v>
      </c>
      <c r="E15" s="42">
        <v>15000</v>
      </c>
      <c r="G15" s="1"/>
      <c r="H15" s="1"/>
      <c r="I15" s="1"/>
      <c r="J15" s="1"/>
    </row>
    <row r="16" spans="2:10" x14ac:dyDescent="0.2">
      <c r="B16" s="150"/>
      <c r="C16" s="229"/>
      <c r="D16" s="229"/>
      <c r="E16" s="42"/>
      <c r="G16" s="652" t="str">
        <f>CONCATENATE("Projected Carryover Into ",E1+1,"")</f>
        <v>Projected Carryover Into 2025</v>
      </c>
      <c r="H16" s="658"/>
      <c r="I16" s="658"/>
      <c r="J16" s="659"/>
    </row>
    <row r="17" spans="2:11" x14ac:dyDescent="0.2">
      <c r="B17" s="150"/>
      <c r="C17" s="229"/>
      <c r="D17" s="229"/>
      <c r="E17" s="42"/>
      <c r="G17" s="292"/>
      <c r="H17" s="294"/>
      <c r="I17" s="294"/>
      <c r="J17" s="311"/>
    </row>
    <row r="18" spans="2:11" x14ac:dyDescent="0.2">
      <c r="B18" s="142" t="s">
        <v>87</v>
      </c>
      <c r="C18" s="229"/>
      <c r="D18" s="229"/>
      <c r="E18" s="42"/>
      <c r="G18" s="312">
        <f>D35</f>
        <v>78047</v>
      </c>
      <c r="H18" s="310" t="str">
        <f>CONCATENATE("",E1-1," Ending Cash Balance (est.)")</f>
        <v>2023 Ending Cash Balance (est.)</v>
      </c>
      <c r="I18" s="313"/>
      <c r="J18" s="311"/>
    </row>
    <row r="19" spans="2:11" x14ac:dyDescent="0.2">
      <c r="B19" s="143" t="s">
        <v>40</v>
      </c>
      <c r="C19" s="229">
        <v>-1232</v>
      </c>
      <c r="D19" s="229">
        <v>-1201</v>
      </c>
      <c r="E19" s="106">
        <f>'NR Rebate'!E13*-1</f>
        <v>-1790</v>
      </c>
      <c r="G19" s="312">
        <f>E22</f>
        <v>17973</v>
      </c>
      <c r="H19" s="294" t="str">
        <f>CONCATENATE("",E1," Non-AV Receipts (est.)")</f>
        <v>2024 Non-AV Receipts (est.)</v>
      </c>
      <c r="I19" s="313"/>
      <c r="J19" s="311"/>
    </row>
    <row r="20" spans="2:11" x14ac:dyDescent="0.2">
      <c r="B20" s="143" t="s">
        <v>38</v>
      </c>
      <c r="C20" s="229"/>
      <c r="D20" s="229"/>
      <c r="E20" s="42"/>
      <c r="G20" s="314">
        <f>IF(E40&gt;0,E39,E41)</f>
        <v>13980</v>
      </c>
      <c r="H20" s="294" t="str">
        <f>CONCATENATE("",E1," Ad Valorem Tax (est.)")</f>
        <v>2024 Ad Valorem Tax (est.)</v>
      </c>
      <c r="I20" s="313"/>
      <c r="J20" s="311"/>
      <c r="K20" s="308" t="str">
        <f>IF(G20=E41,"","Note: Does not include Delinquent Taxes")</f>
        <v>Note: Does not include Delinquent Taxes</v>
      </c>
    </row>
    <row r="21" spans="2:11" x14ac:dyDescent="0.2">
      <c r="B21" s="143" t="s">
        <v>278</v>
      </c>
      <c r="C21" s="230" t="str">
        <f>IF(C22*0.1&lt;C20,"Exceed 10% Rule","")</f>
        <v/>
      </c>
      <c r="D21" s="230" t="str">
        <f>IF(D22*0.1&lt;D20,"Exceed 10% Rule","")</f>
        <v/>
      </c>
      <c r="E21" s="170" t="str">
        <f>IF(E22*0.1+E41&lt;E20,"Exceed 10% Rule","")</f>
        <v/>
      </c>
      <c r="G21" s="312">
        <f>SUM(G18:G20)</f>
        <v>110000</v>
      </c>
      <c r="H21" s="294" t="str">
        <f>CONCATENATE("Total ",E1," Resources Available")</f>
        <v>Total 2024 Resources Available</v>
      </c>
      <c r="I21" s="313"/>
      <c r="J21" s="311"/>
    </row>
    <row r="22" spans="2:11" x14ac:dyDescent="0.2">
      <c r="B22" s="145" t="s">
        <v>88</v>
      </c>
      <c r="C22" s="457">
        <f>SUM(C8:C20)</f>
        <v>78337</v>
      </c>
      <c r="D22" s="457">
        <f>SUM(D8:D20)</f>
        <v>78280</v>
      </c>
      <c r="E22" s="457">
        <f>SUM(E8:E20)</f>
        <v>17973</v>
      </c>
      <c r="G22" s="315"/>
      <c r="H22" s="294"/>
      <c r="I22" s="294"/>
      <c r="J22" s="311"/>
    </row>
    <row r="23" spans="2:11" x14ac:dyDescent="0.25">
      <c r="B23" s="145" t="s">
        <v>89</v>
      </c>
      <c r="C23" s="457">
        <f>C6+C22</f>
        <v>181110</v>
      </c>
      <c r="D23" s="457">
        <f>D6+D22</f>
        <v>188047</v>
      </c>
      <c r="E23" s="457">
        <f>E6+E22</f>
        <v>96020</v>
      </c>
      <c r="G23" s="314">
        <f>ROUND(C34*0.05+C34,0)</f>
        <v>74910</v>
      </c>
      <c r="H23" s="294" t="str">
        <f>CONCATENATE("Less ",E1-2," Expenditures + 5%")</f>
        <v>Less 2022 Expenditures + 5%</v>
      </c>
      <c r="I23" s="313"/>
      <c r="J23" s="316"/>
    </row>
    <row r="24" spans="2:11" x14ac:dyDescent="0.2">
      <c r="B24" s="60" t="s">
        <v>92</v>
      </c>
      <c r="C24" s="143"/>
      <c r="D24" s="143"/>
      <c r="E24" s="38"/>
      <c r="G24" s="317">
        <f>G21-G23</f>
        <v>35090</v>
      </c>
      <c r="H24" s="318" t="str">
        <f>CONCATENATE("Projected ",E1+1," carryover (est.)")</f>
        <v>Projected 2025 carryover (est.)</v>
      </c>
      <c r="I24" s="319"/>
      <c r="J24" s="320"/>
    </row>
    <row r="25" spans="2:11" x14ac:dyDescent="0.25">
      <c r="B25" s="150" t="s">
        <v>1006</v>
      </c>
      <c r="C25" s="229">
        <v>71343</v>
      </c>
      <c r="D25" s="229">
        <v>90000</v>
      </c>
      <c r="E25" s="42">
        <v>90000</v>
      </c>
      <c r="G25" s="1"/>
      <c r="H25" s="1"/>
      <c r="I25" s="1"/>
      <c r="J25" s="1"/>
    </row>
    <row r="26" spans="2:11" x14ac:dyDescent="0.2">
      <c r="B26" s="150" t="s">
        <v>1011</v>
      </c>
      <c r="C26" s="229"/>
      <c r="D26" s="229">
        <v>20000</v>
      </c>
      <c r="E26" s="42">
        <v>20000</v>
      </c>
      <c r="G26" s="633" t="s">
        <v>543</v>
      </c>
      <c r="H26" s="634"/>
      <c r="I26" s="634"/>
      <c r="J26" s="635"/>
    </row>
    <row r="27" spans="2:11" x14ac:dyDescent="0.2">
      <c r="B27" s="150" t="s">
        <v>998</v>
      </c>
      <c r="C27" s="229"/>
      <c r="D27" s="229"/>
      <c r="E27" s="42"/>
      <c r="G27" s="636"/>
      <c r="H27" s="637"/>
      <c r="I27" s="637"/>
      <c r="J27" s="638"/>
    </row>
    <row r="28" spans="2:11" x14ac:dyDescent="0.2">
      <c r="B28" s="150"/>
      <c r="C28" s="229"/>
      <c r="D28" s="229"/>
      <c r="E28" s="42"/>
      <c r="G28" s="504">
        <f>'Budget Hearing Notice'!H23</f>
        <v>8.8999999999999996E-2</v>
      </c>
      <c r="H28" s="310" t="str">
        <f>CONCATENATE("",E1," Estimated Fund Mill Rate")</f>
        <v>2024 Estimated Fund Mill Rate</v>
      </c>
      <c r="I28" s="505"/>
      <c r="J28" s="506"/>
    </row>
    <row r="29" spans="2:11" x14ac:dyDescent="0.2">
      <c r="B29" s="150"/>
      <c r="C29" s="229"/>
      <c r="D29" s="229"/>
      <c r="E29" s="42"/>
      <c r="G29" s="507">
        <f>'Budget Hearing Notice'!E23</f>
        <v>0.41299999999999998</v>
      </c>
      <c r="H29" s="310" t="str">
        <f>CONCATENATE("",E1-1," Fund Mill Rate")</f>
        <v>2023 Fund Mill Rate</v>
      </c>
      <c r="I29" s="505"/>
      <c r="J29" s="506"/>
    </row>
    <row r="30" spans="2:11" x14ac:dyDescent="0.2">
      <c r="B30" s="150"/>
      <c r="C30" s="229"/>
      <c r="D30" s="229"/>
      <c r="E30" s="42"/>
      <c r="G30" s="508">
        <f>'Budget Hearing Notice'!H62</f>
        <v>36.917000000000002</v>
      </c>
      <c r="H30" s="509" t="s">
        <v>544</v>
      </c>
      <c r="I30" s="505"/>
      <c r="J30" s="506"/>
    </row>
    <row r="31" spans="2:11" x14ac:dyDescent="0.2">
      <c r="B31" s="143" t="str">
        <f>CONCATENATE("Cash Forward (",E1," column)")</f>
        <v>Cash Forward (2024 column)</v>
      </c>
      <c r="C31" s="229"/>
      <c r="D31" s="229"/>
      <c r="E31" s="42"/>
      <c r="G31" s="504">
        <f>'Budget Hearing Notice'!H61</f>
        <v>36.917000000000002</v>
      </c>
      <c r="H31" s="310" t="str">
        <f>CONCATENATE(E1," Estimated Total Mill Rate")</f>
        <v>2024 Estimated Total Mill Rate</v>
      </c>
      <c r="I31" s="505"/>
      <c r="J31" s="506"/>
    </row>
    <row r="32" spans="2:11" x14ac:dyDescent="0.2">
      <c r="B32" s="143" t="s">
        <v>38</v>
      </c>
      <c r="C32" s="229"/>
      <c r="D32" s="229"/>
      <c r="E32" s="42"/>
      <c r="G32" s="510">
        <f>'Budget Hearing Notice'!E61</f>
        <v>36.946999999999996</v>
      </c>
      <c r="H32" s="310" t="str">
        <f>CONCATENATE(E1-1," Total Mill Rate")</f>
        <v>2023 Total Mill Rate</v>
      </c>
      <c r="I32" s="505"/>
      <c r="J32" s="506"/>
    </row>
    <row r="33" spans="2:10" x14ac:dyDescent="0.2">
      <c r="B33" s="143" t="s">
        <v>277</v>
      </c>
      <c r="C33" s="230" t="str">
        <f>IF(C34*0.1&lt;C32,"Exceed 10% Rule","")</f>
        <v/>
      </c>
      <c r="D33" s="230" t="str">
        <f>IF(D34*0.1&lt;D32,"Exceed 10% Rule","")</f>
        <v/>
      </c>
      <c r="E33" s="170" t="str">
        <f>IF(E34*0.1&lt;E32,"Exceed 10% Rule","")</f>
        <v/>
      </c>
      <c r="G33" s="321"/>
      <c r="H33" s="293"/>
      <c r="I33" s="293"/>
      <c r="J33" s="323"/>
    </row>
    <row r="34" spans="2:10" x14ac:dyDescent="0.2">
      <c r="B34" s="145" t="s">
        <v>93</v>
      </c>
      <c r="C34" s="457">
        <f>SUM(C25:C32)</f>
        <v>71343</v>
      </c>
      <c r="D34" s="457">
        <f>SUM(D25:D32)</f>
        <v>110000</v>
      </c>
      <c r="E34" s="457">
        <f>SUM(E25:E32)</f>
        <v>110000</v>
      </c>
      <c r="G34" s="639" t="s">
        <v>545</v>
      </c>
      <c r="H34" s="640"/>
      <c r="I34" s="640"/>
      <c r="J34" s="643" t="str">
        <f>IF(G31&gt;G30, "Yes", "No")</f>
        <v>No</v>
      </c>
    </row>
    <row r="35" spans="2:10" x14ac:dyDescent="0.2">
      <c r="B35" s="60" t="s">
        <v>183</v>
      </c>
      <c r="C35" s="106">
        <f>C23-C34</f>
        <v>109767</v>
      </c>
      <c r="D35" s="106">
        <f>D23-D34</f>
        <v>78047</v>
      </c>
      <c r="E35" s="165" t="s">
        <v>66</v>
      </c>
      <c r="G35" s="641"/>
      <c r="H35" s="642"/>
      <c r="I35" s="642"/>
      <c r="J35" s="644"/>
    </row>
    <row r="36" spans="2:10" x14ac:dyDescent="0.2">
      <c r="B36" s="135" t="str">
        <f>CONCATENATE("",E1-2,"/",E1-1,"/",E1," Budget Authority Amount:")</f>
        <v>2022/2023/2024 Budget Authority Amount:</v>
      </c>
      <c r="C36" s="167">
        <f>inputOth!B42</f>
        <v>110272</v>
      </c>
      <c r="D36" s="167">
        <f>inputPrYr!D24</f>
        <v>110000</v>
      </c>
      <c r="E36" s="106">
        <f>E34</f>
        <v>110000</v>
      </c>
      <c r="G36" s="645" t="str">
        <f>IF(J34="Yes", "Follow procedure prescribed by KSA 79-2988 to exceed the Revenue Neutral Rate.", " ")</f>
        <v xml:space="preserve"> </v>
      </c>
      <c r="H36" s="645"/>
      <c r="I36" s="645"/>
      <c r="J36" s="645"/>
    </row>
    <row r="37" spans="2:10" x14ac:dyDescent="0.2">
      <c r="B37" s="125"/>
      <c r="C37" s="647" t="s">
        <v>281</v>
      </c>
      <c r="D37" s="648"/>
      <c r="E37" s="42"/>
      <c r="F37" s="151"/>
      <c r="G37" s="646"/>
      <c r="H37" s="646"/>
      <c r="I37" s="646"/>
      <c r="J37" s="646"/>
    </row>
    <row r="38" spans="2:10" x14ac:dyDescent="0.2">
      <c r="B38" s="263" t="str">
        <f>CONCATENATE(C98,"     ",D98)</f>
        <v xml:space="preserve">     </v>
      </c>
      <c r="C38" s="649" t="s">
        <v>282</v>
      </c>
      <c r="D38" s="650"/>
      <c r="E38" s="106">
        <f>E34+E37</f>
        <v>110000</v>
      </c>
      <c r="F38" s="238" t="str">
        <f>IF(E34/0.95-E34&lt;E37,"Exceeds 5%","")</f>
        <v/>
      </c>
      <c r="G38" s="646"/>
      <c r="H38" s="646"/>
      <c r="I38" s="646"/>
      <c r="J38" s="646"/>
    </row>
    <row r="39" spans="2:10" x14ac:dyDescent="0.25">
      <c r="B39" s="263" t="str">
        <f>CONCATENATE(C99,"     ",D99)</f>
        <v xml:space="preserve">     </v>
      </c>
      <c r="C39" s="152"/>
      <c r="D39" s="90" t="s">
        <v>94</v>
      </c>
      <c r="E39" s="106">
        <f>IF(E38-E23&gt;0,E38-E23,0)</f>
        <v>13980</v>
      </c>
      <c r="G39" s="1"/>
      <c r="H39" s="1"/>
      <c r="I39" s="1"/>
      <c r="J39" s="1"/>
    </row>
    <row r="40" spans="2:10" x14ac:dyDescent="0.25">
      <c r="B40" s="90"/>
      <c r="C40" s="262" t="s">
        <v>283</v>
      </c>
      <c r="D40" s="291">
        <f>inputOth!$E$28</f>
        <v>5.4000000000000003E-3</v>
      </c>
      <c r="E40" s="106">
        <f>ROUND(IF(D40&gt;0,($E$39*D40),0),0)</f>
        <v>75</v>
      </c>
      <c r="G40" s="1"/>
      <c r="H40" s="1"/>
      <c r="I40" s="1"/>
      <c r="J40" s="1"/>
    </row>
    <row r="41" spans="2:10" x14ac:dyDescent="0.25">
      <c r="B41" s="26"/>
      <c r="C41" s="631" t="str">
        <f>CONCATENATE("Amount of  ",$E$1-1," Ad Valorem Tax")</f>
        <v>Amount of  2023 Ad Valorem Tax</v>
      </c>
      <c r="D41" s="651"/>
      <c r="E41" s="106">
        <f>E39+E40</f>
        <v>14055</v>
      </c>
      <c r="G41" s="1"/>
      <c r="H41" s="1"/>
      <c r="I41" s="1"/>
      <c r="J41" s="1"/>
    </row>
    <row r="42" spans="2:10" x14ac:dyDescent="0.25">
      <c r="B42" s="26"/>
      <c r="C42" s="155"/>
      <c r="D42" s="155"/>
      <c r="E42" s="155"/>
      <c r="G42" s="1"/>
      <c r="H42" s="1"/>
      <c r="I42" s="1"/>
      <c r="J42" s="1"/>
    </row>
    <row r="43" spans="2:10" x14ac:dyDescent="0.25">
      <c r="B43" s="25" t="s">
        <v>80</v>
      </c>
      <c r="C43" s="333" t="str">
        <f t="shared" ref="C43:E44" si="0">C4</f>
        <v xml:space="preserve">Prior Year </v>
      </c>
      <c r="D43" s="334" t="str">
        <f t="shared" si="0"/>
        <v xml:space="preserve">Current Year </v>
      </c>
      <c r="E43" s="80" t="str">
        <f t="shared" si="0"/>
        <v xml:space="preserve">Proposed Budget </v>
      </c>
      <c r="G43" s="1"/>
      <c r="H43" s="1"/>
      <c r="I43" s="1"/>
      <c r="J43" s="1"/>
    </row>
    <row r="44" spans="2:10" x14ac:dyDescent="0.25">
      <c r="B44" s="247" t="str">
        <f>inputPrYr!B25</f>
        <v>Election</v>
      </c>
      <c r="C44" s="231" t="str">
        <f t="shared" si="0"/>
        <v>Actual for 2022</v>
      </c>
      <c r="D44" s="231" t="str">
        <f t="shared" si="0"/>
        <v>Estimate for 2023</v>
      </c>
      <c r="E44" s="104" t="str">
        <f t="shared" si="0"/>
        <v>Year for 2024</v>
      </c>
      <c r="G44" s="1"/>
      <c r="H44" s="1"/>
      <c r="I44" s="1"/>
      <c r="J44" s="1"/>
    </row>
    <row r="45" spans="2:10" x14ac:dyDescent="0.25">
      <c r="B45" s="60" t="s">
        <v>182</v>
      </c>
      <c r="C45" s="229">
        <v>103957</v>
      </c>
      <c r="D45" s="232">
        <f>C76</f>
        <v>87838</v>
      </c>
      <c r="E45" s="106">
        <f>D76</f>
        <v>54970</v>
      </c>
      <c r="G45" s="1"/>
      <c r="H45" s="1"/>
      <c r="I45" s="1"/>
      <c r="J45" s="1"/>
    </row>
    <row r="46" spans="2:10" x14ac:dyDescent="0.25">
      <c r="B46" s="128" t="s">
        <v>184</v>
      </c>
      <c r="C46" s="139"/>
      <c r="D46" s="139"/>
      <c r="E46" s="50"/>
      <c r="G46" s="1"/>
      <c r="H46" s="1"/>
      <c r="I46" s="1"/>
      <c r="J46" s="1"/>
    </row>
    <row r="47" spans="2:10" x14ac:dyDescent="0.25">
      <c r="B47" s="60" t="s">
        <v>81</v>
      </c>
      <c r="C47" s="229">
        <v>45830</v>
      </c>
      <c r="D47" s="232">
        <f>IF(inputPrYr!H25&gt;0,inputPrYr!H25,inputPrYr!E25)</f>
        <v>23784</v>
      </c>
      <c r="E47" s="165" t="s">
        <v>66</v>
      </c>
      <c r="G47" s="1"/>
      <c r="H47" s="1"/>
      <c r="I47" s="1"/>
      <c r="J47" s="1"/>
    </row>
    <row r="48" spans="2:10" x14ac:dyDescent="0.25">
      <c r="B48" s="60" t="s">
        <v>82</v>
      </c>
      <c r="C48" s="229">
        <v>538</v>
      </c>
      <c r="D48" s="229">
        <v>629</v>
      </c>
      <c r="E48" s="42"/>
      <c r="G48" s="1"/>
      <c r="H48" s="1"/>
      <c r="I48" s="1"/>
      <c r="J48" s="1"/>
    </row>
    <row r="49" spans="2:11" x14ac:dyDescent="0.25">
      <c r="B49" s="60" t="s">
        <v>83</v>
      </c>
      <c r="C49" s="229">
        <v>2048</v>
      </c>
      <c r="D49" s="229">
        <v>2684</v>
      </c>
      <c r="E49" s="106">
        <f>Mvalloc!D15</f>
        <v>1353</v>
      </c>
      <c r="G49" s="1"/>
      <c r="H49" s="1"/>
      <c r="I49" s="1"/>
      <c r="J49" s="1"/>
    </row>
    <row r="50" spans="2:11" x14ac:dyDescent="0.25">
      <c r="B50" s="60" t="s">
        <v>84</v>
      </c>
      <c r="C50" s="229">
        <v>46</v>
      </c>
      <c r="D50" s="229">
        <v>62</v>
      </c>
      <c r="E50" s="106">
        <f>Mvalloc!E15</f>
        <v>31</v>
      </c>
      <c r="G50" s="1"/>
      <c r="H50" s="1"/>
      <c r="I50" s="1"/>
      <c r="J50" s="1"/>
    </row>
    <row r="51" spans="2:11" x14ac:dyDescent="0.2">
      <c r="B51" s="139" t="s">
        <v>163</v>
      </c>
      <c r="C51" s="229"/>
      <c r="D51" s="229">
        <v>483</v>
      </c>
      <c r="E51" s="106">
        <f>Mvalloc!F15</f>
        <v>254</v>
      </c>
      <c r="G51" s="652" t="str">
        <f>CONCATENATE("Desired Carryover Into ",E1+1,"")</f>
        <v>Desired Carryover Into 2025</v>
      </c>
      <c r="H51" s="653"/>
      <c r="I51" s="653"/>
      <c r="J51" s="654"/>
    </row>
    <row r="52" spans="2:11" x14ac:dyDescent="0.2">
      <c r="B52" s="137" t="s">
        <v>335</v>
      </c>
      <c r="C52" s="229">
        <v>118</v>
      </c>
      <c r="D52" s="229">
        <v>157</v>
      </c>
      <c r="E52" s="106">
        <f>Mvalloc!G15</f>
        <v>79</v>
      </c>
      <c r="G52" s="292"/>
      <c r="H52" s="293"/>
      <c r="I52" s="294"/>
      <c r="J52" s="295"/>
    </row>
    <row r="53" spans="2:11" x14ac:dyDescent="0.2">
      <c r="B53" s="137" t="s">
        <v>336</v>
      </c>
      <c r="C53" s="229"/>
      <c r="D53" s="229">
        <v>32</v>
      </c>
      <c r="E53" s="106">
        <f>Mvalloc!H15</f>
        <v>16</v>
      </c>
      <c r="G53" s="296" t="s">
        <v>284</v>
      </c>
      <c r="H53" s="294"/>
      <c r="I53" s="294"/>
      <c r="J53" s="297">
        <v>0</v>
      </c>
    </row>
    <row r="54" spans="2:11" x14ac:dyDescent="0.2">
      <c r="B54" s="150"/>
      <c r="C54" s="229"/>
      <c r="D54" s="229"/>
      <c r="E54" s="42"/>
      <c r="G54" s="292" t="s">
        <v>285</v>
      </c>
      <c r="H54" s="293"/>
      <c r="I54" s="293"/>
      <c r="J54" s="298" t="str">
        <f>IF(J53=0,"",ROUND((J53+E82-G66)/inputOth!E6*1000,3)-G71)</f>
        <v/>
      </c>
    </row>
    <row r="55" spans="2:11" x14ac:dyDescent="0.2">
      <c r="B55" s="150"/>
      <c r="C55" s="229"/>
      <c r="D55" s="229"/>
      <c r="E55" s="42"/>
      <c r="G55" s="299" t="str">
        <f>CONCATENATE("",E1," Tot Exp/Non-Appr Must Be:")</f>
        <v>2024 Tot Exp/Non-Appr Must Be:</v>
      </c>
      <c r="H55" s="300"/>
      <c r="I55" s="301"/>
      <c r="J55" s="302">
        <f>IF(J53&gt;0,IF(E79&lt;E64,IF(J53=G66,E79,((J53-G66)*(1-D81))+E64),E79+(J53-G66)),0)</f>
        <v>0</v>
      </c>
    </row>
    <row r="56" spans="2:11" x14ac:dyDescent="0.2">
      <c r="B56" s="150"/>
      <c r="C56" s="229"/>
      <c r="D56" s="229"/>
      <c r="E56" s="42"/>
      <c r="G56" s="303" t="s">
        <v>305</v>
      </c>
      <c r="H56" s="304"/>
      <c r="I56" s="304"/>
      <c r="J56" s="305">
        <f>IF(J53&gt;0,J55-E79,0)</f>
        <v>0</v>
      </c>
    </row>
    <row r="57" spans="2:11" x14ac:dyDescent="0.25">
      <c r="B57" s="150"/>
      <c r="C57" s="229"/>
      <c r="D57" s="229"/>
      <c r="E57" s="42"/>
      <c r="G57" s="1"/>
      <c r="H57" s="1"/>
      <c r="I57" s="1"/>
      <c r="J57" s="1"/>
    </row>
    <row r="58" spans="2:11" x14ac:dyDescent="0.2">
      <c r="B58" s="150"/>
      <c r="C58" s="229"/>
      <c r="D58" s="229"/>
      <c r="E58" s="42"/>
      <c r="G58" s="652" t="str">
        <f>CONCATENATE("Projected Carryover Into ",E1+1,"")</f>
        <v>Projected Carryover Into 2025</v>
      </c>
      <c r="H58" s="660"/>
      <c r="I58" s="660"/>
      <c r="J58" s="659"/>
    </row>
    <row r="59" spans="2:11" x14ac:dyDescent="0.25">
      <c r="B59" s="142" t="s">
        <v>87</v>
      </c>
      <c r="C59" s="229"/>
      <c r="D59" s="229"/>
      <c r="E59" s="42"/>
      <c r="G59" s="321"/>
      <c r="H59" s="293"/>
      <c r="I59" s="293"/>
      <c r="J59" s="316"/>
    </row>
    <row r="60" spans="2:11" x14ac:dyDescent="0.25">
      <c r="B60" s="143" t="s">
        <v>40</v>
      </c>
      <c r="C60" s="229">
        <v>-1148</v>
      </c>
      <c r="D60" s="229">
        <v>-1119</v>
      </c>
      <c r="E60" s="106">
        <f>'NR Rebate'!E14*-1</f>
        <v>-651</v>
      </c>
      <c r="G60" s="312">
        <f>D76</f>
        <v>54970</v>
      </c>
      <c r="H60" s="310" t="str">
        <f>CONCATENATE("",E1-1," Ending Cash Balance (est.)")</f>
        <v>2023 Ending Cash Balance (est.)</v>
      </c>
      <c r="I60" s="313"/>
      <c r="J60" s="316"/>
    </row>
    <row r="61" spans="2:11" x14ac:dyDescent="0.25">
      <c r="B61" s="143" t="s">
        <v>38</v>
      </c>
      <c r="C61" s="229">
        <v>657</v>
      </c>
      <c r="D61" s="229">
        <v>720</v>
      </c>
      <c r="E61" s="42"/>
      <c r="G61" s="312">
        <f>E63</f>
        <v>1082</v>
      </c>
      <c r="H61" s="294" t="str">
        <f>CONCATENATE("",E1," Non-AV Receipts (est.)")</f>
        <v>2024 Non-AV Receipts (est.)</v>
      </c>
      <c r="I61" s="313"/>
      <c r="J61" s="316"/>
    </row>
    <row r="62" spans="2:11" x14ac:dyDescent="0.25">
      <c r="B62" s="143" t="s">
        <v>278</v>
      </c>
      <c r="C62" s="230" t="str">
        <f>IF(C63*0.1&lt;C61,"Exceed 10% Rule","")</f>
        <v/>
      </c>
      <c r="D62" s="230" t="str">
        <f>IF(D63*0.1&lt;D61,"Exceed 10% Rule","")</f>
        <v/>
      </c>
      <c r="E62" s="170" t="str">
        <f>IF(E63*0.1+E82&lt;E61,"Exceed 10% Rule","")</f>
        <v/>
      </c>
      <c r="G62" s="314">
        <f>IF(E81&gt;0,E80,E82)</f>
        <v>57248</v>
      </c>
      <c r="H62" s="294" t="str">
        <f>CONCATENATE("",E1," Ad Valorem Tax (est.)")</f>
        <v>2024 Ad Valorem Tax (est.)</v>
      </c>
      <c r="I62" s="313"/>
      <c r="J62" s="316"/>
      <c r="K62" s="308" t="str">
        <f>IF(G62=E82,"","Note: Does not include Delinquent Taxes")</f>
        <v>Note: Does not include Delinquent Taxes</v>
      </c>
    </row>
    <row r="63" spans="2:11" x14ac:dyDescent="0.25">
      <c r="B63" s="145" t="s">
        <v>88</v>
      </c>
      <c r="C63" s="457">
        <f>SUM(C47:C61)</f>
        <v>48089</v>
      </c>
      <c r="D63" s="457">
        <f>SUM(D47:D61)</f>
        <v>27432</v>
      </c>
      <c r="E63" s="457">
        <f>SUM(E47:E61)</f>
        <v>1082</v>
      </c>
      <c r="G63" s="322">
        <f>SUM(G60:G62)</f>
        <v>113300</v>
      </c>
      <c r="H63" s="294" t="str">
        <f>CONCATENATE("Total ",E1," Resources Available")</f>
        <v>Total 2024 Resources Available</v>
      </c>
      <c r="I63" s="323"/>
      <c r="J63" s="316"/>
    </row>
    <row r="64" spans="2:11" x14ac:dyDescent="0.25">
      <c r="B64" s="145" t="s">
        <v>89</v>
      </c>
      <c r="C64" s="457">
        <f>C45+C63</f>
        <v>152046</v>
      </c>
      <c r="D64" s="457">
        <f>D45+D63</f>
        <v>115270</v>
      </c>
      <c r="E64" s="457">
        <f>E45+E63</f>
        <v>56052</v>
      </c>
      <c r="G64" s="324"/>
      <c r="H64" s="325"/>
      <c r="I64" s="293"/>
      <c r="J64" s="316"/>
    </row>
    <row r="65" spans="2:10" x14ac:dyDescent="0.25">
      <c r="B65" s="60" t="s">
        <v>92</v>
      </c>
      <c r="C65" s="143"/>
      <c r="D65" s="143"/>
      <c r="E65" s="38"/>
      <c r="G65" s="326">
        <f>ROUND(C75*0.05+C75,0)</f>
        <v>67418</v>
      </c>
      <c r="H65" s="294" t="str">
        <f>CONCATENATE("Less ",E1-2," Expenditures + 5%")</f>
        <v>Less 2022 Expenditures + 5%</v>
      </c>
      <c r="I65" s="323"/>
      <c r="J65" s="316"/>
    </row>
    <row r="66" spans="2:10" x14ac:dyDescent="0.25">
      <c r="B66" s="150" t="s">
        <v>987</v>
      </c>
      <c r="C66" s="229">
        <v>5246</v>
      </c>
      <c r="D66" s="229">
        <v>5000</v>
      </c>
      <c r="E66" s="42">
        <v>8000</v>
      </c>
      <c r="G66" s="327">
        <f>G63-G65</f>
        <v>45882</v>
      </c>
      <c r="H66" s="318" t="str">
        <f>CONCATENATE("Projected ",E1+1," carryover (est.)")</f>
        <v>Projected 2025 carryover (est.)</v>
      </c>
      <c r="I66" s="328"/>
      <c r="J66" s="329"/>
    </row>
    <row r="67" spans="2:10" x14ac:dyDescent="0.25">
      <c r="B67" s="150" t="s">
        <v>1006</v>
      </c>
      <c r="C67" s="229">
        <v>58962</v>
      </c>
      <c r="D67" s="229">
        <v>50000</v>
      </c>
      <c r="E67" s="42">
        <v>100000</v>
      </c>
      <c r="G67" s="1"/>
      <c r="H67" s="1"/>
      <c r="I67" s="1"/>
      <c r="J67" s="1"/>
    </row>
    <row r="68" spans="2:10" x14ac:dyDescent="0.2">
      <c r="B68" s="150" t="s">
        <v>1007</v>
      </c>
      <c r="C68" s="229"/>
      <c r="D68" s="229">
        <v>300</v>
      </c>
      <c r="E68" s="42">
        <v>300</v>
      </c>
      <c r="G68" s="633" t="s">
        <v>543</v>
      </c>
      <c r="H68" s="634"/>
      <c r="I68" s="634"/>
      <c r="J68" s="635"/>
    </row>
    <row r="69" spans="2:10" x14ac:dyDescent="0.2">
      <c r="B69" s="150" t="s">
        <v>998</v>
      </c>
      <c r="C69" s="229"/>
      <c r="D69" s="229">
        <v>5000</v>
      </c>
      <c r="E69" s="42">
        <v>5000</v>
      </c>
      <c r="G69" s="636"/>
      <c r="H69" s="637"/>
      <c r="I69" s="637"/>
      <c r="J69" s="638"/>
    </row>
    <row r="70" spans="2:10" x14ac:dyDescent="0.2">
      <c r="B70" s="150"/>
      <c r="C70" s="229"/>
      <c r="D70" s="229"/>
      <c r="E70" s="42"/>
      <c r="G70" s="504">
        <f>'Budget Hearing Notice'!H24</f>
        <v>0.36299999999999999</v>
      </c>
      <c r="H70" s="310" t="str">
        <f>CONCATENATE("",E1," Estimated Fund Mill Rate")</f>
        <v>2024 Estimated Fund Mill Rate</v>
      </c>
      <c r="I70" s="505"/>
      <c r="J70" s="506"/>
    </row>
    <row r="71" spans="2:10" x14ac:dyDescent="0.2">
      <c r="B71" s="150"/>
      <c r="C71" s="229"/>
      <c r="D71" s="229"/>
      <c r="E71" s="42"/>
      <c r="G71" s="507">
        <f>'Budget Hearing Notice'!E24</f>
        <v>0.15</v>
      </c>
      <c r="H71" s="310" t="str">
        <f>CONCATENATE("",E1-1," Fund Mill Rate")</f>
        <v>2023 Fund Mill Rate</v>
      </c>
      <c r="I71" s="505"/>
      <c r="J71" s="506"/>
    </row>
    <row r="72" spans="2:10" x14ac:dyDescent="0.2">
      <c r="B72" s="143" t="str">
        <f>CONCATENATE("Cash Forward (",E1," column)")</f>
        <v>Cash Forward (2024 column)</v>
      </c>
      <c r="C72" s="229"/>
      <c r="D72" s="229"/>
      <c r="E72" s="42"/>
      <c r="G72" s="508">
        <f>'Budget Hearing Notice'!H62</f>
        <v>36.917000000000002</v>
      </c>
      <c r="H72" s="509" t="s">
        <v>544</v>
      </c>
      <c r="I72" s="505"/>
      <c r="J72" s="506"/>
    </row>
    <row r="73" spans="2:10" x14ac:dyDescent="0.2">
      <c r="B73" s="143" t="s">
        <v>38</v>
      </c>
      <c r="C73" s="229"/>
      <c r="D73" s="229"/>
      <c r="E73" s="42"/>
      <c r="G73" s="504">
        <f>'Budget Hearing Notice'!H61</f>
        <v>36.917000000000002</v>
      </c>
      <c r="H73" s="310" t="str">
        <f>CONCATENATE(E1," Estimated Total Mill Rate")</f>
        <v>2024 Estimated Total Mill Rate</v>
      </c>
      <c r="I73" s="505"/>
      <c r="J73" s="506"/>
    </row>
    <row r="74" spans="2:10" x14ac:dyDescent="0.2">
      <c r="B74" s="143" t="s">
        <v>277</v>
      </c>
      <c r="C74" s="230" t="str">
        <f>IF(C75*0.1&lt;C73,"Exceed 10% Rule","")</f>
        <v/>
      </c>
      <c r="D74" s="230" t="str">
        <f>IF(D75*0.1&lt;D73,"Exceed 10% Rule","")</f>
        <v/>
      </c>
      <c r="E74" s="170" t="str">
        <f>IF(E75*0.1&lt;E73,"Exceed 10% Rule","")</f>
        <v/>
      </c>
      <c r="G74" s="510">
        <f>'Budget Hearing Notice'!E61</f>
        <v>36.946999999999996</v>
      </c>
      <c r="H74" s="310" t="str">
        <f>CONCATENATE(E1-1," Total Mill Rate")</f>
        <v>2023 Total Mill Rate</v>
      </c>
      <c r="I74" s="505"/>
      <c r="J74" s="506"/>
    </row>
    <row r="75" spans="2:10" x14ac:dyDescent="0.2">
      <c r="B75" s="145" t="s">
        <v>93</v>
      </c>
      <c r="C75" s="457">
        <f>SUM(C66:C73)</f>
        <v>64208</v>
      </c>
      <c r="D75" s="457">
        <f>SUM(D66:D73)</f>
        <v>60300</v>
      </c>
      <c r="E75" s="457">
        <f>SUM(E66:E73)</f>
        <v>113300</v>
      </c>
      <c r="G75" s="321"/>
      <c r="H75" s="293"/>
      <c r="I75" s="293"/>
      <c r="J75" s="323"/>
    </row>
    <row r="76" spans="2:10" x14ac:dyDescent="0.2">
      <c r="B76" s="60" t="s">
        <v>183</v>
      </c>
      <c r="C76" s="106">
        <f>C64-C75</f>
        <v>87838</v>
      </c>
      <c r="D76" s="106">
        <f>D64-D75</f>
        <v>54970</v>
      </c>
      <c r="E76" s="165" t="s">
        <v>66</v>
      </c>
      <c r="G76" s="639" t="s">
        <v>545</v>
      </c>
      <c r="H76" s="640"/>
      <c r="I76" s="640"/>
      <c r="J76" s="643" t="str">
        <f>IF(G73&gt;G72, "Yes", "No")</f>
        <v>No</v>
      </c>
    </row>
    <row r="77" spans="2:10" x14ac:dyDescent="0.2">
      <c r="B77" s="135" t="str">
        <f>CONCATENATE("",E1-2,"/",E1-1,"/",E1," Budget Authority Amount:")</f>
        <v>2022/2023/2024 Budget Authority Amount:</v>
      </c>
      <c r="C77" s="167">
        <f>inputOth!B43</f>
        <v>92213</v>
      </c>
      <c r="D77" s="167">
        <f>inputPrYr!D25</f>
        <v>91300</v>
      </c>
      <c r="E77" s="106">
        <f>E75</f>
        <v>113300</v>
      </c>
      <c r="G77" s="641"/>
      <c r="H77" s="642"/>
      <c r="I77" s="642"/>
      <c r="J77" s="644"/>
    </row>
    <row r="78" spans="2:10" x14ac:dyDescent="0.2">
      <c r="B78" s="125"/>
      <c r="C78" s="647" t="s">
        <v>281</v>
      </c>
      <c r="D78" s="648"/>
      <c r="E78" s="42"/>
      <c r="G78" s="645" t="str">
        <f>IF(J76="Yes", "Follow procedure prescribed by KSA 79-2988 to exceed the Revenue Neutral Rate.", " ")</f>
        <v xml:space="preserve"> </v>
      </c>
      <c r="H78" s="645"/>
      <c r="I78" s="645"/>
      <c r="J78" s="645"/>
    </row>
    <row r="79" spans="2:10" x14ac:dyDescent="0.2">
      <c r="B79" s="263" t="str">
        <f>CONCATENATE(C100,"     ",D100)</f>
        <v xml:space="preserve">     </v>
      </c>
      <c r="C79" s="649" t="s">
        <v>282</v>
      </c>
      <c r="D79" s="650"/>
      <c r="E79" s="106">
        <f>E75+E78</f>
        <v>113300</v>
      </c>
      <c r="F79" s="151"/>
      <c r="G79" s="646"/>
      <c r="H79" s="646"/>
      <c r="I79" s="646"/>
      <c r="J79" s="646"/>
    </row>
    <row r="80" spans="2:10" x14ac:dyDescent="0.2">
      <c r="B80" s="263" t="str">
        <f>CONCATENATE(C101,"     ",D101)</f>
        <v xml:space="preserve">     </v>
      </c>
      <c r="C80" s="152"/>
      <c r="D80" s="90" t="s">
        <v>94</v>
      </c>
      <c r="E80" s="106">
        <f>IF(E79-E64&gt;0,E79-E64,0)</f>
        <v>57248</v>
      </c>
      <c r="F80" s="238" t="str">
        <f>IF(E75/0.95-E75&lt;E78,"Exceeds 5%","")</f>
        <v/>
      </c>
      <c r="G80" s="646"/>
      <c r="H80" s="646"/>
      <c r="I80" s="646"/>
      <c r="J80" s="646"/>
    </row>
    <row r="81" spans="2:5" x14ac:dyDescent="0.2">
      <c r="B81" s="90"/>
      <c r="C81" s="262" t="s">
        <v>283</v>
      </c>
      <c r="D81" s="291">
        <f>inputOth!$E$28</f>
        <v>5.4000000000000003E-3</v>
      </c>
      <c r="E81" s="106">
        <f>ROUND(IF(D81&gt;0,($E$80*D81),0),0)</f>
        <v>309</v>
      </c>
    </row>
    <row r="82" spans="2:5" x14ac:dyDescent="0.2">
      <c r="B82" s="26"/>
      <c r="C82" s="631" t="str">
        <f>CONCATENATE("Amount of  ",$E$1-1," Ad Valorem Tax")</f>
        <v>Amount of  2023 Ad Valorem Tax</v>
      </c>
      <c r="D82" s="651"/>
      <c r="E82" s="106">
        <f>E80+E81</f>
        <v>57557</v>
      </c>
    </row>
    <row r="83" spans="2:5" x14ac:dyDescent="0.2">
      <c r="B83" s="26"/>
      <c r="C83" s="125"/>
      <c r="D83" s="26"/>
      <c r="E83" s="125"/>
    </row>
    <row r="84" spans="2:5" x14ac:dyDescent="0.2">
      <c r="B84" s="417" t="s">
        <v>341</v>
      </c>
      <c r="C84" s="396"/>
      <c r="D84" s="341"/>
      <c r="E84" s="403"/>
    </row>
    <row r="85" spans="2:5" x14ac:dyDescent="0.2">
      <c r="B85" s="126"/>
      <c r="C85" s="125"/>
      <c r="D85" s="26"/>
      <c r="E85" s="404"/>
    </row>
    <row r="86" spans="2:5" x14ac:dyDescent="0.2">
      <c r="B86" s="397"/>
      <c r="C86" s="402"/>
      <c r="D86" s="44"/>
      <c r="E86" s="405"/>
    </row>
    <row r="87" spans="2:5" x14ac:dyDescent="0.2">
      <c r="B87" s="26"/>
      <c r="C87" s="125"/>
      <c r="D87" s="26"/>
      <c r="E87" s="125"/>
    </row>
    <row r="88" spans="2:5" x14ac:dyDescent="0.2">
      <c r="B88" s="125" t="s">
        <v>133</v>
      </c>
      <c r="C88" s="362">
        <v>10</v>
      </c>
      <c r="D88" s="26"/>
      <c r="E88" s="26"/>
    </row>
    <row r="93" spans="2:5" x14ac:dyDescent="0.2">
      <c r="C93" s="418"/>
    </row>
    <row r="95" spans="2:5" hidden="1" x14ac:dyDescent="0.2"/>
    <row r="96" spans="2:5" hidden="1" x14ac:dyDescent="0.2"/>
    <row r="97" spans="3:4" hidden="1" x14ac:dyDescent="0.2"/>
    <row r="98" spans="3:4" hidden="1" x14ac:dyDescent="0.2">
      <c r="C98" s="23" t="str">
        <f>IF(C34&gt;C36,"See Tab A","")</f>
        <v/>
      </c>
      <c r="D98" s="23" t="str">
        <f>IF(D34&gt;D36,"See Tab C","")</f>
        <v/>
      </c>
    </row>
    <row r="99" spans="3:4" x14ac:dyDescent="0.2">
      <c r="C99" s="23" t="str">
        <f>IF(C35&lt;0,"See Tab B","")</f>
        <v/>
      </c>
      <c r="D99" s="23" t="str">
        <f>IF(D35&lt;0,"See Tab D","")</f>
        <v/>
      </c>
    </row>
    <row r="100" spans="3:4" x14ac:dyDescent="0.2">
      <c r="C100" s="23" t="str">
        <f>IF(C75&gt;C77,"See Tab A","")</f>
        <v/>
      </c>
      <c r="D100" s="23" t="str">
        <f>IF(D75&gt;D77,"See Tab C","")</f>
        <v/>
      </c>
    </row>
    <row r="101" spans="3:4" x14ac:dyDescent="0.2">
      <c r="C101" s="23" t="str">
        <f>IF(C76&lt;0,"See Tab B","")</f>
        <v/>
      </c>
      <c r="D101" s="23" t="str">
        <f>IF(D76&lt;0,"See Tab D","")</f>
        <v/>
      </c>
    </row>
  </sheetData>
  <sheetProtection sheet="1" objects="1" scenarios="1"/>
  <mergeCells count="18">
    <mergeCell ref="G68:J69"/>
    <mergeCell ref="C78:D78"/>
    <mergeCell ref="C79:D79"/>
    <mergeCell ref="C82:D82"/>
    <mergeCell ref="C41:D41"/>
    <mergeCell ref="G76:I77"/>
    <mergeCell ref="J76:J77"/>
    <mergeCell ref="G78:J80"/>
    <mergeCell ref="G9:J9"/>
    <mergeCell ref="G16:J16"/>
    <mergeCell ref="G51:J51"/>
    <mergeCell ref="G58:J58"/>
    <mergeCell ref="C37:D37"/>
    <mergeCell ref="C38:D38"/>
    <mergeCell ref="G26:J27"/>
    <mergeCell ref="G34:I35"/>
    <mergeCell ref="J34:J35"/>
    <mergeCell ref="G36:J38"/>
  </mergeCells>
  <phoneticPr fontId="0" type="noConversion"/>
  <conditionalFormatting sqref="E73">
    <cfRule type="cellIs" dxfId="319" priority="14" stopIfTrue="1" operator="greaterThan">
      <formula>$E$75*0.1</formula>
    </cfRule>
  </conditionalFormatting>
  <conditionalFormatting sqref="E78">
    <cfRule type="cellIs" dxfId="318" priority="15" stopIfTrue="1" operator="greaterThan">
      <formula>$E$75/0.95-$E$75</formula>
    </cfRule>
  </conditionalFormatting>
  <conditionalFormatting sqref="E37">
    <cfRule type="cellIs" dxfId="317" priority="16" stopIfTrue="1" operator="greaterThan">
      <formula>$E$34/0.95-$E$34</formula>
    </cfRule>
  </conditionalFormatting>
  <conditionalFormatting sqref="E32">
    <cfRule type="cellIs" dxfId="316" priority="17" stopIfTrue="1" operator="greaterThan">
      <formula>$E$34*0.1</formula>
    </cfRule>
  </conditionalFormatting>
  <conditionalFormatting sqref="C73">
    <cfRule type="cellIs" dxfId="315" priority="21" stopIfTrue="1" operator="greaterThan">
      <formula>$C$75*0.1</formula>
    </cfRule>
  </conditionalFormatting>
  <conditionalFormatting sqref="D73">
    <cfRule type="cellIs" dxfId="314" priority="22" stopIfTrue="1" operator="greaterThan">
      <formula>$D$75*0.1</formula>
    </cfRule>
  </conditionalFormatting>
  <conditionalFormatting sqref="E61">
    <cfRule type="cellIs" dxfId="313" priority="23" stopIfTrue="1" operator="greaterThan">
      <formula>$E$63*0.1+E82</formula>
    </cfRule>
  </conditionalFormatting>
  <conditionalFormatting sqref="C61">
    <cfRule type="cellIs" dxfId="312" priority="24" stopIfTrue="1" operator="greaterThan">
      <formula>$C$63*0.1</formula>
    </cfRule>
  </conditionalFormatting>
  <conditionalFormatting sqref="D61">
    <cfRule type="cellIs" dxfId="311" priority="25" stopIfTrue="1" operator="greaterThan">
      <formula>$D$63*0.1</formula>
    </cfRule>
  </conditionalFormatting>
  <conditionalFormatting sqref="C32">
    <cfRule type="cellIs" dxfId="310" priority="28" stopIfTrue="1" operator="greaterThan">
      <formula>$C$34*0.1</formula>
    </cfRule>
  </conditionalFormatting>
  <conditionalFormatting sqref="D32">
    <cfRule type="cellIs" dxfId="309" priority="29" stopIfTrue="1" operator="greaterThan">
      <formula>$D$34*0.1</formula>
    </cfRule>
  </conditionalFormatting>
  <conditionalFormatting sqref="E20">
    <cfRule type="cellIs" dxfId="308" priority="30" stopIfTrue="1" operator="greaterThan">
      <formula>$E$22*0.1+E41</formula>
    </cfRule>
  </conditionalFormatting>
  <conditionalFormatting sqref="C20">
    <cfRule type="cellIs" dxfId="307" priority="31" stopIfTrue="1" operator="greaterThan">
      <formula>$C$22*0.1</formula>
    </cfRule>
  </conditionalFormatting>
  <conditionalFormatting sqref="D20">
    <cfRule type="cellIs" dxfId="306" priority="32" stopIfTrue="1" operator="greaterThan">
      <formula>$D$22*0.1</formula>
    </cfRule>
  </conditionalFormatting>
  <conditionalFormatting sqref="J34">
    <cfRule type="containsText" dxfId="305" priority="11" operator="containsText" text="Yes">
      <formula>NOT(ISERROR(SEARCH("Yes",J34)))</formula>
    </cfRule>
  </conditionalFormatting>
  <conditionalFormatting sqref="J76">
    <cfRule type="containsText" dxfId="304" priority="10" operator="containsText" text="Yes">
      <formula>NOT(ISERROR(SEARCH("Yes",J76)))</formula>
    </cfRule>
  </conditionalFormatting>
  <conditionalFormatting sqref="C75">
    <cfRule type="cellIs" dxfId="303" priority="6" stopIfTrue="1" operator="greaterThan">
      <formula>$C$77</formula>
    </cfRule>
  </conditionalFormatting>
  <conditionalFormatting sqref="D75">
    <cfRule type="cellIs" dxfId="302" priority="7" stopIfTrue="1" operator="greaterThan">
      <formula>$D$77</formula>
    </cfRule>
    <cfRule type="cellIs" dxfId="301" priority="9" stopIfTrue="1" operator="greaterThan">
      <formula>$D$36</formula>
    </cfRule>
  </conditionalFormatting>
  <conditionalFormatting sqref="C34">
    <cfRule type="cellIs" dxfId="300" priority="8" stopIfTrue="1" operator="greaterThan">
      <formula>$C$36</formula>
    </cfRule>
  </conditionalFormatting>
  <conditionalFormatting sqref="D34">
    <cfRule type="cellIs" dxfId="299" priority="5" stopIfTrue="1" operator="greaterThan">
      <formula>$D$36</formula>
    </cfRule>
  </conditionalFormatting>
  <conditionalFormatting sqref="C35">
    <cfRule type="cellIs" dxfId="298" priority="1" stopIfTrue="1" operator="lessThan">
      <formula>0</formula>
    </cfRule>
  </conditionalFormatting>
  <conditionalFormatting sqref="D35">
    <cfRule type="cellIs" dxfId="297" priority="2" stopIfTrue="1" operator="lessThan">
      <formula>0</formula>
    </cfRule>
  </conditionalFormatting>
  <conditionalFormatting sqref="C76">
    <cfRule type="cellIs" dxfId="296" priority="3" stopIfTrue="1" operator="lessThan">
      <formula>0</formula>
    </cfRule>
  </conditionalFormatting>
  <conditionalFormatting sqref="D76">
    <cfRule type="cellIs" dxfId="295" priority="4" stopIfTrue="1" operator="lessThan">
      <formula>0</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B1:K100"/>
  <sheetViews>
    <sheetView topLeftCell="A16" zoomScaleNormal="100" workbookViewId="0">
      <selection activeCell="E26" sqref="E26"/>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inputPrYr!B26</f>
        <v>Extension Council</v>
      </c>
      <c r="C5" s="231" t="str">
        <f>CONCATENATE("Actual for ",E1-2,"")</f>
        <v>Actual for 2022</v>
      </c>
      <c r="D5" s="231" t="str">
        <f>CONCATENATE("Estimate for ",E1-1,"")</f>
        <v>Estimate for 2023</v>
      </c>
      <c r="E5" s="136" t="str">
        <f>CONCATENATE("Year for ",E1,"")</f>
        <v>Year for 2024</v>
      </c>
    </row>
    <row r="6" spans="2:10" x14ac:dyDescent="0.2">
      <c r="B6" s="60" t="s">
        <v>182</v>
      </c>
      <c r="C6" s="229">
        <v>1828</v>
      </c>
      <c r="D6" s="232">
        <f>C35</f>
        <v>2282.3999999999942</v>
      </c>
      <c r="E6" s="106">
        <f>D35</f>
        <v>13113.399999999994</v>
      </c>
    </row>
    <row r="7" spans="2:10" x14ac:dyDescent="0.2">
      <c r="B7" s="128" t="s">
        <v>184</v>
      </c>
      <c r="C7" s="139"/>
      <c r="D7" s="139"/>
      <c r="E7" s="50"/>
    </row>
    <row r="8" spans="2:10" x14ac:dyDescent="0.2">
      <c r="B8" s="60" t="s">
        <v>81</v>
      </c>
      <c r="C8" s="229">
        <v>121368</v>
      </c>
      <c r="D8" s="232">
        <f>IF(inputPrYr!H26&gt;0,inputPrYr!H26,inputPrYr!E26)</f>
        <v>126989</v>
      </c>
      <c r="E8" s="165" t="s">
        <v>66</v>
      </c>
    </row>
    <row r="9" spans="2:10" x14ac:dyDescent="0.2">
      <c r="B9" s="60" t="s">
        <v>82</v>
      </c>
      <c r="C9" s="229">
        <v>1303</v>
      </c>
      <c r="D9" s="229">
        <v>12916</v>
      </c>
      <c r="E9" s="42"/>
    </row>
    <row r="10" spans="2:10" x14ac:dyDescent="0.2">
      <c r="B10" s="60" t="s">
        <v>83</v>
      </c>
      <c r="C10" s="229">
        <v>7593</v>
      </c>
      <c r="D10" s="229">
        <v>7127</v>
      </c>
      <c r="E10" s="106">
        <f>Mvalloc!D16</f>
        <v>7223</v>
      </c>
      <c r="G10" s="652" t="str">
        <f>CONCATENATE("Desired Carryover Into ",E1+1,"")</f>
        <v>Desired Carryover Into 2025</v>
      </c>
      <c r="H10" s="653"/>
      <c r="I10" s="653"/>
      <c r="J10" s="654"/>
    </row>
    <row r="11" spans="2:10" x14ac:dyDescent="0.2">
      <c r="B11" s="60" t="s">
        <v>84</v>
      </c>
      <c r="C11" s="229">
        <v>171.4</v>
      </c>
      <c r="D11" s="229">
        <v>166</v>
      </c>
      <c r="E11" s="106">
        <f>Mvalloc!E16</f>
        <v>163</v>
      </c>
      <c r="G11" s="292"/>
      <c r="H11" s="293"/>
      <c r="I11" s="294"/>
      <c r="J11" s="295"/>
    </row>
    <row r="12" spans="2:10" x14ac:dyDescent="0.2">
      <c r="B12" s="139" t="s">
        <v>163</v>
      </c>
      <c r="C12" s="229"/>
      <c r="D12" s="229">
        <v>1283</v>
      </c>
      <c r="E12" s="106">
        <f>Mvalloc!F16</f>
        <v>1357</v>
      </c>
      <c r="G12" s="296" t="s">
        <v>284</v>
      </c>
      <c r="H12" s="294"/>
      <c r="I12" s="294"/>
      <c r="J12" s="297">
        <v>0</v>
      </c>
    </row>
    <row r="13" spans="2:10" x14ac:dyDescent="0.2">
      <c r="B13" s="137" t="s">
        <v>335</v>
      </c>
      <c r="C13" s="229">
        <v>445</v>
      </c>
      <c r="D13" s="229">
        <v>417</v>
      </c>
      <c r="E13" s="106">
        <f>Mvalloc!G16</f>
        <v>419</v>
      </c>
      <c r="G13" s="292" t="s">
        <v>285</v>
      </c>
      <c r="H13" s="293"/>
      <c r="I13" s="293"/>
      <c r="J13" s="298" t="str">
        <f>IF(J12=0,"",ROUND((J12+E41-G25)/inputOth!E6*1000,3)-G30)</f>
        <v/>
      </c>
    </row>
    <row r="14" spans="2:10" x14ac:dyDescent="0.2">
      <c r="B14" s="137" t="s">
        <v>336</v>
      </c>
      <c r="C14" s="229"/>
      <c r="D14" s="229">
        <v>85</v>
      </c>
      <c r="E14" s="106">
        <f>Mvalloc!H16</f>
        <v>85</v>
      </c>
      <c r="G14" s="299" t="str">
        <f>CONCATENATE("",E1," Tot Exp/Non-Appr Must Be:")</f>
        <v>2024 Tot Exp/Non-Appr Must Be:</v>
      </c>
      <c r="H14" s="300"/>
      <c r="I14" s="301"/>
      <c r="J14" s="302">
        <f>IF(J12&gt;0,IF(E38&lt;E23,IF(J12=G25,E38,((J12-G25)*(1-D40))+E23),E38+(J12-G25)),0)</f>
        <v>0</v>
      </c>
    </row>
    <row r="15" spans="2:10" x14ac:dyDescent="0.2">
      <c r="B15" s="150"/>
      <c r="C15" s="229"/>
      <c r="D15" s="229"/>
      <c r="E15" s="42"/>
      <c r="G15" s="303" t="s">
        <v>305</v>
      </c>
      <c r="H15" s="304"/>
      <c r="I15" s="304"/>
      <c r="J15" s="305">
        <f>IF(J12&gt;0,J14-E38,0)</f>
        <v>0</v>
      </c>
    </row>
    <row r="16" spans="2:10" x14ac:dyDescent="0.25">
      <c r="B16" s="150"/>
      <c r="C16" s="229"/>
      <c r="D16" s="229"/>
      <c r="E16" s="42"/>
      <c r="G16" s="1"/>
      <c r="H16" s="1"/>
      <c r="I16" s="1"/>
      <c r="J16" s="1"/>
    </row>
    <row r="17" spans="2:11" x14ac:dyDescent="0.2">
      <c r="B17" s="150"/>
      <c r="C17" s="229"/>
      <c r="D17" s="229"/>
      <c r="E17" s="42"/>
      <c r="G17" s="652" t="str">
        <f>CONCATENATE("Projected Carryover Into ",E1+1,"")</f>
        <v>Projected Carryover Into 2025</v>
      </c>
      <c r="H17" s="658"/>
      <c r="I17" s="658"/>
      <c r="J17" s="659"/>
    </row>
    <row r="18" spans="2:11" x14ac:dyDescent="0.2">
      <c r="B18" s="142" t="s">
        <v>87</v>
      </c>
      <c r="C18" s="229"/>
      <c r="D18" s="229"/>
      <c r="E18" s="42"/>
      <c r="G18" s="292"/>
      <c r="H18" s="294"/>
      <c r="I18" s="294"/>
      <c r="J18" s="311"/>
    </row>
    <row r="19" spans="2:11" x14ac:dyDescent="0.2">
      <c r="B19" s="143" t="s">
        <v>40</v>
      </c>
      <c r="C19" s="229">
        <v>-3044</v>
      </c>
      <c r="D19" s="229">
        <v>-2970</v>
      </c>
      <c r="E19" s="106">
        <f>'NR Rebate'!E15*-1</f>
        <v>-3934</v>
      </c>
      <c r="G19" s="312">
        <f>D35</f>
        <v>13113.399999999994</v>
      </c>
      <c r="H19" s="310" t="str">
        <f>CONCATENATE("",E1-1," Ending Cash Balance (est.)")</f>
        <v>2023 Ending Cash Balance (est.)</v>
      </c>
      <c r="I19" s="313"/>
      <c r="J19" s="311"/>
    </row>
    <row r="20" spans="2:11" x14ac:dyDescent="0.2">
      <c r="B20" s="143" t="s">
        <v>38</v>
      </c>
      <c r="C20" s="229"/>
      <c r="D20" s="229"/>
      <c r="E20" s="42"/>
      <c r="G20" s="312">
        <f>E22</f>
        <v>5313</v>
      </c>
      <c r="H20" s="294" t="str">
        <f>CONCATENATE("",E1," Non-AV Receipts (est.)")</f>
        <v>2024 Non-AV Receipts (est.)</v>
      </c>
      <c r="I20" s="313"/>
      <c r="J20" s="311"/>
    </row>
    <row r="21" spans="2:11" x14ac:dyDescent="0.2">
      <c r="B21" s="143" t="s">
        <v>278</v>
      </c>
      <c r="C21" s="230" t="str">
        <f>IF(C22*0.1&lt;C20,"Exceed 10% Rule","")</f>
        <v/>
      </c>
      <c r="D21" s="230" t="str">
        <f>IF(D22*0.1&lt;D20,"Exceed 10% Rule","")</f>
        <v/>
      </c>
      <c r="E21" s="170" t="str">
        <f>IF(E22*0.1+E41&lt;E20,"Exceed 10% Rule","")</f>
        <v/>
      </c>
      <c r="G21" s="314">
        <f>IF(E40&gt;0,E39,E41)</f>
        <v>143437.6</v>
      </c>
      <c r="H21" s="294" t="str">
        <f>CONCATENATE("",E1," Ad Valorem Tax (est.)")</f>
        <v>2024 Ad Valorem Tax (est.)</v>
      </c>
      <c r="I21" s="313"/>
      <c r="J21" s="311"/>
      <c r="K21" s="308" t="str">
        <f>IF(G21=E41,"","Note: Does not include Delinquent Taxes")</f>
        <v>Note: Does not include Delinquent Taxes</v>
      </c>
    </row>
    <row r="22" spans="2:11" x14ac:dyDescent="0.2">
      <c r="B22" s="145" t="s">
        <v>88</v>
      </c>
      <c r="C22" s="457">
        <f>SUM(C8:C20)</f>
        <v>127836.4</v>
      </c>
      <c r="D22" s="457">
        <f>SUM(D8:D20)</f>
        <v>146013</v>
      </c>
      <c r="E22" s="457">
        <f>SUM(E8:E20)</f>
        <v>5313</v>
      </c>
      <c r="G22" s="312">
        <f>SUM(G19:G21)</f>
        <v>161864</v>
      </c>
      <c r="H22" s="294" t="str">
        <f>CONCATENATE("Total ",E1," Resources Available")</f>
        <v>Total 2024 Resources Available</v>
      </c>
      <c r="I22" s="313"/>
      <c r="J22" s="311"/>
    </row>
    <row r="23" spans="2:11" x14ac:dyDescent="0.2">
      <c r="B23" s="145" t="s">
        <v>89</v>
      </c>
      <c r="C23" s="457">
        <f>C6+C22</f>
        <v>129664.4</v>
      </c>
      <c r="D23" s="457">
        <f>D6+D22</f>
        <v>148295.4</v>
      </c>
      <c r="E23" s="457">
        <f>E6+E22</f>
        <v>18426.399999999994</v>
      </c>
      <c r="G23" s="315"/>
      <c r="H23" s="294"/>
      <c r="I23" s="294"/>
      <c r="J23" s="311"/>
    </row>
    <row r="24" spans="2:11" x14ac:dyDescent="0.25">
      <c r="B24" s="60" t="s">
        <v>92</v>
      </c>
      <c r="C24" s="143"/>
      <c r="D24" s="143"/>
      <c r="E24" s="38"/>
      <c r="G24" s="314">
        <f>ROUND(C34*0.05+C34,0)</f>
        <v>133751</v>
      </c>
      <c r="H24" s="294" t="str">
        <f>CONCATENATE("Less ",E1-2," Expenditures + 5%")</f>
        <v>Less 2022 Expenditures + 5%</v>
      </c>
      <c r="I24" s="313"/>
      <c r="J24" s="316"/>
    </row>
    <row r="25" spans="2:11" x14ac:dyDescent="0.2">
      <c r="B25" s="150" t="s">
        <v>1004</v>
      </c>
      <c r="C25" s="229">
        <v>127382</v>
      </c>
      <c r="D25" s="229">
        <v>135182</v>
      </c>
      <c r="E25" s="42">
        <v>161864</v>
      </c>
      <c r="G25" s="317">
        <f>G22-G24</f>
        <v>28113</v>
      </c>
      <c r="H25" s="318" t="str">
        <f>CONCATENATE("Projected ",E1+1," carryover (est.)")</f>
        <v>Projected 2025 carryover (est.)</v>
      </c>
      <c r="I25" s="319"/>
      <c r="J25" s="320"/>
    </row>
    <row r="26" spans="2:11" x14ac:dyDescent="0.25">
      <c r="B26" s="150"/>
      <c r="C26" s="229"/>
      <c r="D26" s="229"/>
      <c r="E26" s="42"/>
      <c r="G26" s="1"/>
      <c r="H26" s="1"/>
      <c r="I26" s="1"/>
      <c r="J26" s="1"/>
    </row>
    <row r="27" spans="2:11" x14ac:dyDescent="0.2">
      <c r="B27" s="150"/>
      <c r="C27" s="229"/>
      <c r="D27" s="229"/>
      <c r="E27" s="42"/>
      <c r="G27" s="633" t="s">
        <v>543</v>
      </c>
      <c r="H27" s="634"/>
      <c r="I27" s="634"/>
      <c r="J27" s="635"/>
    </row>
    <row r="28" spans="2:11" x14ac:dyDescent="0.2">
      <c r="B28" s="150"/>
      <c r="C28" s="229"/>
      <c r="D28" s="229"/>
      <c r="E28" s="42"/>
      <c r="G28" s="636"/>
      <c r="H28" s="637"/>
      <c r="I28" s="637"/>
      <c r="J28" s="638"/>
    </row>
    <row r="29" spans="2:11" x14ac:dyDescent="0.2">
      <c r="B29" s="150"/>
      <c r="C29" s="229"/>
      <c r="D29" s="229"/>
      <c r="E29" s="42"/>
      <c r="G29" s="504">
        <f>'Budget Hearing Notice'!H25</f>
        <v>0.91</v>
      </c>
      <c r="H29" s="310" t="str">
        <f>CONCATENATE("",E1," Estimated Fund Mill Rate")</f>
        <v>2024 Estimated Fund Mill Rate</v>
      </c>
      <c r="I29" s="505"/>
      <c r="J29" s="506"/>
    </row>
    <row r="30" spans="2:11" x14ac:dyDescent="0.2">
      <c r="B30" s="150"/>
      <c r="C30" s="229"/>
      <c r="D30" s="229"/>
      <c r="E30" s="42"/>
      <c r="G30" s="507">
        <f>'Budget Hearing Notice'!E25</f>
        <v>0.80200000000000005</v>
      </c>
      <c r="H30" s="310" t="str">
        <f>CONCATENATE("",E1-1," Fund Mill Rate")</f>
        <v>2023 Fund Mill Rate</v>
      </c>
      <c r="I30" s="505"/>
      <c r="J30" s="506"/>
    </row>
    <row r="31" spans="2:11" x14ac:dyDescent="0.2">
      <c r="B31" s="143" t="str">
        <f>CONCATENATE("Cash Forward (",E1," column)")</f>
        <v>Cash Forward (2024 column)</v>
      </c>
      <c r="C31" s="229"/>
      <c r="D31" s="229"/>
      <c r="E31" s="42"/>
      <c r="G31" s="508">
        <f>'Budget Hearing Notice'!H62</f>
        <v>36.917000000000002</v>
      </c>
      <c r="H31" s="509" t="s">
        <v>544</v>
      </c>
      <c r="I31" s="505"/>
      <c r="J31" s="506"/>
    </row>
    <row r="32" spans="2:11" x14ac:dyDescent="0.2">
      <c r="B32" s="143" t="s">
        <v>38</v>
      </c>
      <c r="C32" s="229"/>
      <c r="D32" s="229"/>
      <c r="E32" s="42"/>
      <c r="G32" s="504">
        <f>'Budget Hearing Notice'!H61</f>
        <v>36.917000000000002</v>
      </c>
      <c r="H32" s="310" t="str">
        <f>CONCATENATE(E1," Estimated Total Mill Rate")</f>
        <v>2024 Estimated Total Mill Rate</v>
      </c>
      <c r="I32" s="505"/>
      <c r="J32" s="506"/>
    </row>
    <row r="33" spans="2:10" x14ac:dyDescent="0.2">
      <c r="B33" s="143" t="s">
        <v>277</v>
      </c>
      <c r="C33" s="230" t="str">
        <f>IF(C34*0.1&lt;C32,"Exceed 10% Rule","")</f>
        <v/>
      </c>
      <c r="D33" s="230" t="str">
        <f>IF(D34*0.1&lt;D32,"Exceed 10% Rule","")</f>
        <v/>
      </c>
      <c r="E33" s="170" t="str">
        <f>IF(E34*0.1&lt;E32,"Exceed 10% Rule","")</f>
        <v/>
      </c>
      <c r="G33" s="510">
        <f>'Budget Hearing Notice'!E61</f>
        <v>36.946999999999996</v>
      </c>
      <c r="H33" s="310" t="str">
        <f>CONCATENATE(E1-1," Total Mill Rate")</f>
        <v>2023 Total Mill Rate</v>
      </c>
      <c r="I33" s="505"/>
      <c r="J33" s="506"/>
    </row>
    <row r="34" spans="2:10" x14ac:dyDescent="0.2">
      <c r="B34" s="145" t="s">
        <v>93</v>
      </c>
      <c r="C34" s="457">
        <f>SUM(C25:C32)</f>
        <v>127382</v>
      </c>
      <c r="D34" s="457">
        <f>SUM(D25:D32)</f>
        <v>135182</v>
      </c>
      <c r="E34" s="457">
        <f>SUM(E25:E32)</f>
        <v>161864</v>
      </c>
      <c r="G34" s="321"/>
      <c r="H34" s="293"/>
      <c r="I34" s="293"/>
      <c r="J34" s="323"/>
    </row>
    <row r="35" spans="2:10" x14ac:dyDescent="0.2">
      <c r="B35" s="60" t="s">
        <v>183</v>
      </c>
      <c r="C35" s="106">
        <f>C23-C34</f>
        <v>2282.3999999999942</v>
      </c>
      <c r="D35" s="106">
        <f>D23-D34</f>
        <v>13113.399999999994</v>
      </c>
      <c r="E35" s="165" t="s">
        <v>66</v>
      </c>
      <c r="G35" s="639" t="s">
        <v>545</v>
      </c>
      <c r="H35" s="640"/>
      <c r="I35" s="640"/>
      <c r="J35" s="643" t="str">
        <f>IF(G32&gt;G31, "Yes", "No")</f>
        <v>No</v>
      </c>
    </row>
    <row r="36" spans="2:10" x14ac:dyDescent="0.2">
      <c r="B36" s="135" t="str">
        <f>CONCATENATE("",E1-2,"/",E1-1,"/",E1," Budget Authority Amount:")</f>
        <v>2022/2023/2024 Budget Authority Amount:</v>
      </c>
      <c r="C36" s="167">
        <f>inputOth!B44</f>
        <v>130453</v>
      </c>
      <c r="D36" s="167">
        <f>inputPrYr!D26</f>
        <v>135182</v>
      </c>
      <c r="E36" s="106">
        <f>E34</f>
        <v>161864</v>
      </c>
      <c r="G36" s="641"/>
      <c r="H36" s="642"/>
      <c r="I36" s="642"/>
      <c r="J36" s="644"/>
    </row>
    <row r="37" spans="2:10" x14ac:dyDescent="0.2">
      <c r="B37" s="125"/>
      <c r="C37" s="647" t="s">
        <v>281</v>
      </c>
      <c r="D37" s="648"/>
      <c r="E37" s="42"/>
      <c r="F37" s="151"/>
      <c r="G37" s="645" t="str">
        <f>IF(J35="Yes", "Follow procedure prescribed by KSA 79-2988 to exceed the Revenue Neutral Rate.", " ")</f>
        <v xml:space="preserve"> </v>
      </c>
      <c r="H37" s="645"/>
      <c r="I37" s="645"/>
      <c r="J37" s="645"/>
    </row>
    <row r="38" spans="2:10" x14ac:dyDescent="0.2">
      <c r="B38" s="263" t="str">
        <f>CONCATENATE(C97,"     ",D97)</f>
        <v xml:space="preserve">     </v>
      </c>
      <c r="C38" s="649" t="s">
        <v>282</v>
      </c>
      <c r="D38" s="650"/>
      <c r="E38" s="106">
        <f>E34+E37</f>
        <v>161864</v>
      </c>
      <c r="F38" s="238" t="str">
        <f>IF(E34/0.95-E34&lt;E37,"Exceeds 5%","")</f>
        <v/>
      </c>
      <c r="G38" s="646"/>
      <c r="H38" s="646"/>
      <c r="I38" s="646"/>
      <c r="J38" s="646"/>
    </row>
    <row r="39" spans="2:10" x14ac:dyDescent="0.2">
      <c r="B39" s="263" t="str">
        <f>CONCATENATE(C98,"     ",D98)</f>
        <v xml:space="preserve">     </v>
      </c>
      <c r="C39" s="152"/>
      <c r="D39" s="90" t="s">
        <v>94</v>
      </c>
      <c r="E39" s="106">
        <f>IF(E38-E23&gt;0,E38-E23,0)</f>
        <v>143437.6</v>
      </c>
      <c r="G39" s="646"/>
      <c r="H39" s="646"/>
      <c r="I39" s="646"/>
      <c r="J39" s="646"/>
    </row>
    <row r="40" spans="2:10" x14ac:dyDescent="0.25">
      <c r="B40" s="90"/>
      <c r="C40" s="262" t="s">
        <v>283</v>
      </c>
      <c r="D40" s="291">
        <f>inputOth!$E$28</f>
        <v>5.4000000000000003E-3</v>
      </c>
      <c r="E40" s="106">
        <f>ROUND(IF(D40&gt;0,($E$39*D40),0),0)</f>
        <v>775</v>
      </c>
      <c r="G40" s="1"/>
      <c r="H40" s="1"/>
      <c r="I40" s="1"/>
      <c r="J40" s="1"/>
    </row>
    <row r="41" spans="2:10" x14ac:dyDescent="0.25">
      <c r="B41" s="26"/>
      <c r="C41" s="631" t="str">
        <f>CONCATENATE("Amount of  ",$E$1-1," Ad Valorem Tax")</f>
        <v>Amount of  2023 Ad Valorem Tax</v>
      </c>
      <c r="D41" s="651"/>
      <c r="E41" s="106">
        <f>E39+E40</f>
        <v>144212.6</v>
      </c>
      <c r="G41" s="1"/>
      <c r="H41" s="1"/>
      <c r="I41" s="1"/>
      <c r="J41" s="1"/>
    </row>
    <row r="42" spans="2:10" x14ac:dyDescent="0.25">
      <c r="B42" s="26"/>
      <c r="C42" s="155"/>
      <c r="D42" s="155"/>
      <c r="E42" s="155"/>
      <c r="G42" s="1"/>
      <c r="H42" s="1"/>
      <c r="I42" s="1"/>
      <c r="J42" s="1"/>
    </row>
    <row r="43" spans="2:10" x14ac:dyDescent="0.25">
      <c r="B43" s="25" t="s">
        <v>80</v>
      </c>
      <c r="C43" s="333" t="str">
        <f t="shared" ref="C43:E44" si="0">C4</f>
        <v xml:space="preserve">Prior Year </v>
      </c>
      <c r="D43" s="334" t="str">
        <f t="shared" si="0"/>
        <v xml:space="preserve">Current Year </v>
      </c>
      <c r="E43" s="80" t="str">
        <f t="shared" si="0"/>
        <v xml:space="preserve">Proposed Budget </v>
      </c>
      <c r="G43" s="1"/>
      <c r="H43" s="1"/>
      <c r="I43" s="1"/>
      <c r="J43" s="1"/>
    </row>
    <row r="44" spans="2:10" x14ac:dyDescent="0.25">
      <c r="B44" s="246" t="str">
        <f>inputPrYr!B27</f>
        <v>Elderly</v>
      </c>
      <c r="C44" s="231" t="str">
        <f t="shared" si="0"/>
        <v>Actual for 2022</v>
      </c>
      <c r="D44" s="231" t="str">
        <f t="shared" si="0"/>
        <v>Estimate for 2023</v>
      </c>
      <c r="E44" s="136" t="str">
        <f t="shared" si="0"/>
        <v>Year for 2024</v>
      </c>
      <c r="G44" s="1"/>
      <c r="H44" s="1"/>
      <c r="I44" s="1"/>
      <c r="J44" s="1"/>
    </row>
    <row r="45" spans="2:10" x14ac:dyDescent="0.25">
      <c r="B45" s="60" t="s">
        <v>182</v>
      </c>
      <c r="C45" s="229">
        <v>208827</v>
      </c>
      <c r="D45" s="232">
        <f>C75</f>
        <v>179568</v>
      </c>
      <c r="E45" s="106">
        <f>D75</f>
        <v>36721</v>
      </c>
      <c r="G45" s="1"/>
      <c r="H45" s="1"/>
      <c r="I45" s="1"/>
      <c r="J45" s="1"/>
    </row>
    <row r="46" spans="2:10" x14ac:dyDescent="0.25">
      <c r="B46" s="137" t="s">
        <v>184</v>
      </c>
      <c r="C46" s="139"/>
      <c r="D46" s="139"/>
      <c r="E46" s="50"/>
      <c r="G46" s="1"/>
      <c r="H46" s="1"/>
      <c r="I46" s="1"/>
      <c r="J46" s="1"/>
    </row>
    <row r="47" spans="2:10" x14ac:dyDescent="0.25">
      <c r="B47" s="60" t="s">
        <v>81</v>
      </c>
      <c r="C47" s="229">
        <v>241040</v>
      </c>
      <c r="D47" s="232">
        <f>IF(inputPrYr!H27&gt;0,inputPrYr!H27,inputPrYr!E27)</f>
        <v>240097</v>
      </c>
      <c r="E47" s="165" t="s">
        <v>66</v>
      </c>
      <c r="G47" s="1"/>
      <c r="H47" s="1"/>
      <c r="I47" s="1"/>
      <c r="J47" s="1"/>
    </row>
    <row r="48" spans="2:10" x14ac:dyDescent="0.25">
      <c r="B48" s="60" t="s">
        <v>82</v>
      </c>
      <c r="C48" s="229">
        <v>2477</v>
      </c>
      <c r="D48" s="229">
        <v>3320</v>
      </c>
      <c r="E48" s="42"/>
      <c r="G48" s="1"/>
      <c r="H48" s="1"/>
      <c r="I48" s="1"/>
      <c r="J48" s="1"/>
    </row>
    <row r="49" spans="2:11" x14ac:dyDescent="0.25">
      <c r="B49" s="60" t="s">
        <v>83</v>
      </c>
      <c r="C49" s="229">
        <v>18481</v>
      </c>
      <c r="D49" s="229">
        <v>14162</v>
      </c>
      <c r="E49" s="106">
        <f>Mvalloc!D17</f>
        <v>13656</v>
      </c>
      <c r="G49" s="1"/>
      <c r="H49" s="1"/>
      <c r="I49" s="1"/>
      <c r="J49" s="1"/>
    </row>
    <row r="50" spans="2:11" x14ac:dyDescent="0.2">
      <c r="B50" s="60" t="s">
        <v>84</v>
      </c>
      <c r="C50" s="229">
        <v>418</v>
      </c>
      <c r="D50" s="229">
        <v>329</v>
      </c>
      <c r="E50" s="106">
        <f>Mvalloc!E17</f>
        <v>308</v>
      </c>
      <c r="G50" s="652" t="str">
        <f>CONCATENATE("Desired Carryover Into ",E1+1,"")</f>
        <v>Desired Carryover Into 2025</v>
      </c>
      <c r="H50" s="653"/>
      <c r="I50" s="653"/>
      <c r="J50" s="654"/>
    </row>
    <row r="51" spans="2:11" x14ac:dyDescent="0.2">
      <c r="B51" s="139" t="s">
        <v>163</v>
      </c>
      <c r="C51" s="229"/>
      <c r="D51" s="229">
        <v>2549</v>
      </c>
      <c r="E51" s="106">
        <f>Mvalloc!F17</f>
        <v>2565</v>
      </c>
      <c r="G51" s="292"/>
      <c r="H51" s="293"/>
      <c r="I51" s="294"/>
      <c r="J51" s="295"/>
    </row>
    <row r="52" spans="2:11" x14ac:dyDescent="0.2">
      <c r="B52" s="137" t="s">
        <v>335</v>
      </c>
      <c r="C52" s="229">
        <v>1091</v>
      </c>
      <c r="D52" s="229">
        <v>929</v>
      </c>
      <c r="E52" s="106">
        <f>Mvalloc!G17</f>
        <v>793</v>
      </c>
      <c r="G52" s="296" t="s">
        <v>284</v>
      </c>
      <c r="H52" s="294"/>
      <c r="I52" s="294"/>
      <c r="J52" s="297">
        <v>0</v>
      </c>
    </row>
    <row r="53" spans="2:11" x14ac:dyDescent="0.2">
      <c r="B53" s="137" t="s">
        <v>336</v>
      </c>
      <c r="C53" s="229"/>
      <c r="D53" s="229">
        <v>169</v>
      </c>
      <c r="E53" s="106">
        <f>Mvalloc!H17</f>
        <v>161</v>
      </c>
      <c r="G53" s="292" t="s">
        <v>285</v>
      </c>
      <c r="H53" s="293"/>
      <c r="I53" s="293"/>
      <c r="J53" s="298" t="str">
        <f>IF(J52=0,"",ROUND((J52+E81-G65)/inputOth!E6*1000,3)-G70)</f>
        <v/>
      </c>
    </row>
    <row r="54" spans="2:11" x14ac:dyDescent="0.2">
      <c r="B54" s="150" t="s">
        <v>1012</v>
      </c>
      <c r="C54" s="229">
        <v>1000</v>
      </c>
      <c r="D54" s="229"/>
      <c r="E54" s="42"/>
      <c r="G54" s="299" t="str">
        <f>CONCATENATE("",E1," Tot Exp/Non-Appr Must Be:")</f>
        <v>2024 Tot Exp/Non-Appr Must Be:</v>
      </c>
      <c r="H54" s="300"/>
      <c r="I54" s="301"/>
      <c r="J54" s="302">
        <f>IF(J52&gt;0,IF(E78&lt;E64,IF(J52=G65,E78,((J52-G65)*(1-D80))+E64),E78+(J52-G65)),0)</f>
        <v>0</v>
      </c>
    </row>
    <row r="55" spans="2:11" x14ac:dyDescent="0.2">
      <c r="B55" s="150"/>
      <c r="C55" s="229"/>
      <c r="D55" s="229"/>
      <c r="E55" s="42"/>
      <c r="G55" s="303" t="s">
        <v>305</v>
      </c>
      <c r="H55" s="304"/>
      <c r="I55" s="304"/>
      <c r="J55" s="305">
        <f>IF(J52&gt;0,J54-E78,0)</f>
        <v>0</v>
      </c>
    </row>
    <row r="56" spans="2:11" x14ac:dyDescent="0.25">
      <c r="B56" s="150"/>
      <c r="C56" s="229"/>
      <c r="D56" s="229"/>
      <c r="E56" s="42"/>
      <c r="G56" s="1"/>
      <c r="H56" s="1"/>
      <c r="I56" s="1"/>
      <c r="J56" s="1"/>
    </row>
    <row r="57" spans="2:11" x14ac:dyDescent="0.2">
      <c r="B57" s="150"/>
      <c r="C57" s="229"/>
      <c r="D57" s="229"/>
      <c r="E57" s="42"/>
      <c r="G57" s="652" t="str">
        <f>CONCATENATE("Projected Carryover Into ",E1+1,"")</f>
        <v>Projected Carryover Into 2025</v>
      </c>
      <c r="H57" s="660"/>
      <c r="I57" s="660"/>
      <c r="J57" s="659"/>
    </row>
    <row r="58" spans="2:11" x14ac:dyDescent="0.25">
      <c r="B58" s="150"/>
      <c r="C58" s="229"/>
      <c r="D58" s="229"/>
      <c r="E58" s="42"/>
      <c r="G58" s="321"/>
      <c r="H58" s="293"/>
      <c r="I58" s="293"/>
      <c r="J58" s="316"/>
    </row>
    <row r="59" spans="2:11" x14ac:dyDescent="0.25">
      <c r="B59" s="142" t="s">
        <v>87</v>
      </c>
      <c r="C59" s="229"/>
      <c r="D59" s="229"/>
      <c r="E59" s="42"/>
      <c r="G59" s="312">
        <f>D75</f>
        <v>36721</v>
      </c>
      <c r="H59" s="310" t="str">
        <f>CONCATENATE("",E1-1," Ending Cash Balance (est.)")</f>
        <v>2023 Ending Cash Balance (est.)</v>
      </c>
      <c r="I59" s="313"/>
      <c r="J59" s="316"/>
    </row>
    <row r="60" spans="2:11" x14ac:dyDescent="0.25">
      <c r="B60" s="143" t="s">
        <v>40</v>
      </c>
      <c r="C60" s="229">
        <v>-6050</v>
      </c>
      <c r="D60" s="229">
        <v>-5902</v>
      </c>
      <c r="E60" s="106">
        <f>'NR Rebate'!E16*-1</f>
        <v>-6571</v>
      </c>
      <c r="G60" s="312">
        <f>E63</f>
        <v>10912</v>
      </c>
      <c r="H60" s="294" t="str">
        <f>CONCATENATE("",E1," Non-AV Receipts (est.)")</f>
        <v>2024 Non-AV Receipts (est.)</v>
      </c>
      <c r="I60" s="313"/>
      <c r="J60" s="316"/>
    </row>
    <row r="61" spans="2:11" x14ac:dyDescent="0.25">
      <c r="B61" s="143" t="s">
        <v>38</v>
      </c>
      <c r="C61" s="229"/>
      <c r="D61" s="229"/>
      <c r="E61" s="42"/>
      <c r="G61" s="314">
        <f>IF(E80&gt;0,E79,E81)</f>
        <v>435765</v>
      </c>
      <c r="H61" s="294" t="str">
        <f>CONCATENATE("",E1," Ad Valorem Tax (est.)")</f>
        <v>2024 Ad Valorem Tax (est.)</v>
      </c>
      <c r="I61" s="313"/>
      <c r="J61" s="316"/>
      <c r="K61" s="308" t="str">
        <f>IF(G61=E81,"","Note: Does not include Delinquent Taxes")</f>
        <v>Note: Does not include Delinquent Taxes</v>
      </c>
    </row>
    <row r="62" spans="2:11" x14ac:dyDescent="0.25">
      <c r="B62" s="143" t="s">
        <v>278</v>
      </c>
      <c r="C62" s="230" t="str">
        <f>IF(C63*0.1&lt;C61,"Exceed 10% Rule","")</f>
        <v/>
      </c>
      <c r="D62" s="230" t="str">
        <f>IF(D63*0.1&lt;D61,"Exceed 10% Rule","")</f>
        <v/>
      </c>
      <c r="E62" s="170" t="str">
        <f>IF(E63*0.1+E81&lt;E61,"Exceed 10% Rule","")</f>
        <v/>
      </c>
      <c r="G62" s="322">
        <f>SUM(G59:G61)</f>
        <v>483398</v>
      </c>
      <c r="H62" s="294" t="str">
        <f>CONCATENATE("Total ",E1," Resources Available")</f>
        <v>Total 2024 Resources Available</v>
      </c>
      <c r="I62" s="323"/>
      <c r="J62" s="316"/>
    </row>
    <row r="63" spans="2:11" x14ac:dyDescent="0.25">
      <c r="B63" s="145" t="s">
        <v>88</v>
      </c>
      <c r="C63" s="457">
        <f>SUM(C47:C61)</f>
        <v>258457</v>
      </c>
      <c r="D63" s="457">
        <f>SUM(D47:D61)</f>
        <v>255653</v>
      </c>
      <c r="E63" s="457">
        <f>SUM(E47:E61)</f>
        <v>10912</v>
      </c>
      <c r="G63" s="324"/>
      <c r="H63" s="325"/>
      <c r="I63" s="293"/>
      <c r="J63" s="316"/>
    </row>
    <row r="64" spans="2:11" x14ac:dyDescent="0.25">
      <c r="B64" s="145" t="s">
        <v>89</v>
      </c>
      <c r="C64" s="457">
        <f>C45+C63</f>
        <v>467284</v>
      </c>
      <c r="D64" s="457">
        <f>D45+D63</f>
        <v>435221</v>
      </c>
      <c r="E64" s="457">
        <f>E45+E63</f>
        <v>47633</v>
      </c>
      <c r="G64" s="326">
        <f>ROUND(C74*0.05+C74,0)</f>
        <v>302102</v>
      </c>
      <c r="H64" s="294" t="str">
        <f>CONCATENATE("Less ",E1-2," Expenditures + 5%")</f>
        <v>Less 2022 Expenditures + 5%</v>
      </c>
      <c r="I64" s="323"/>
      <c r="J64" s="316"/>
    </row>
    <row r="65" spans="2:10" x14ac:dyDescent="0.25">
      <c r="B65" s="60" t="s">
        <v>92</v>
      </c>
      <c r="C65" s="143"/>
      <c r="D65" s="143"/>
      <c r="E65" s="38"/>
      <c r="G65" s="327">
        <f>G62-G64</f>
        <v>181296</v>
      </c>
      <c r="H65" s="318" t="str">
        <f>CONCATENATE("Projected ",E1+1," carryover (est.)")</f>
        <v>Projected 2025 carryover (est.)</v>
      </c>
      <c r="I65" s="328"/>
      <c r="J65" s="329"/>
    </row>
    <row r="66" spans="2:10" x14ac:dyDescent="0.25">
      <c r="B66" s="150" t="s">
        <v>987</v>
      </c>
      <c r="C66" s="229">
        <v>10374</v>
      </c>
      <c r="D66" s="229">
        <v>11000</v>
      </c>
      <c r="E66" s="42">
        <v>12000</v>
      </c>
      <c r="G66" s="1"/>
      <c r="H66" s="1"/>
      <c r="I66" s="1"/>
      <c r="J66" s="1"/>
    </row>
    <row r="67" spans="2:10" x14ac:dyDescent="0.2">
      <c r="B67" s="150" t="s">
        <v>1006</v>
      </c>
      <c r="C67" s="229">
        <v>4479</v>
      </c>
      <c r="D67" s="229">
        <v>8000</v>
      </c>
      <c r="E67" s="42">
        <v>7000</v>
      </c>
      <c r="G67" s="633" t="s">
        <v>543</v>
      </c>
      <c r="H67" s="634"/>
      <c r="I67" s="634"/>
      <c r="J67" s="635"/>
    </row>
    <row r="68" spans="2:10" x14ac:dyDescent="0.2">
      <c r="B68" s="150" t="s">
        <v>1007</v>
      </c>
      <c r="C68" s="229">
        <v>1396</v>
      </c>
      <c r="D68" s="229">
        <v>8000</v>
      </c>
      <c r="E68" s="42">
        <v>8000</v>
      </c>
      <c r="G68" s="636"/>
      <c r="H68" s="637"/>
      <c r="I68" s="637"/>
      <c r="J68" s="638"/>
    </row>
    <row r="69" spans="2:10" x14ac:dyDescent="0.2">
      <c r="B69" s="150" t="s">
        <v>998</v>
      </c>
      <c r="C69" s="229">
        <v>4230</v>
      </c>
      <c r="D69" s="229">
        <v>5500</v>
      </c>
      <c r="E69" s="42">
        <v>5500</v>
      </c>
      <c r="G69" s="504">
        <f>'Budget Hearing Notice'!H26</f>
        <v>2.7639999999999998</v>
      </c>
      <c r="H69" s="310" t="str">
        <f>CONCATENATE("",E1," Estimated Fund Mill Rate")</f>
        <v>2024 Estimated Fund Mill Rate</v>
      </c>
      <c r="I69" s="505"/>
      <c r="J69" s="506"/>
    </row>
    <row r="70" spans="2:10" x14ac:dyDescent="0.2">
      <c r="B70" s="150" t="s">
        <v>1013</v>
      </c>
      <c r="C70" s="229">
        <v>267237</v>
      </c>
      <c r="D70" s="229">
        <v>366000</v>
      </c>
      <c r="E70" s="42">
        <v>450898</v>
      </c>
      <c r="G70" s="507">
        <f>'Budget Hearing Notice'!E26</f>
        <v>1.516</v>
      </c>
      <c r="H70" s="310" t="str">
        <f>CONCATENATE("",E1-1," Fund Mill Rate")</f>
        <v>2023 Fund Mill Rate</v>
      </c>
      <c r="I70" s="505"/>
      <c r="J70" s="506"/>
    </row>
    <row r="71" spans="2:10" x14ac:dyDescent="0.2">
      <c r="B71" s="143" t="str">
        <f>CONCATENATE("Cash Forward (",E1," column)")</f>
        <v>Cash Forward (2024 column)</v>
      </c>
      <c r="C71" s="229"/>
      <c r="D71" s="229"/>
      <c r="E71" s="42"/>
      <c r="G71" s="508">
        <f>'Budget Hearing Notice'!H62</f>
        <v>36.917000000000002</v>
      </c>
      <c r="H71" s="509" t="s">
        <v>544</v>
      </c>
      <c r="I71" s="505"/>
      <c r="J71" s="506"/>
    </row>
    <row r="72" spans="2:10" x14ac:dyDescent="0.2">
      <c r="B72" s="143" t="s">
        <v>38</v>
      </c>
      <c r="C72" s="229"/>
      <c r="D72" s="229"/>
      <c r="E72" s="42"/>
      <c r="G72" s="504">
        <f>'Budget Hearing Notice'!H61</f>
        <v>36.917000000000002</v>
      </c>
      <c r="H72" s="310" t="str">
        <f>CONCATENATE(E1," Estimated Total Mill Rate")</f>
        <v>2024 Estimated Total Mill Rate</v>
      </c>
      <c r="I72" s="505"/>
      <c r="J72" s="506"/>
    </row>
    <row r="73" spans="2:10" x14ac:dyDescent="0.2">
      <c r="B73" s="143" t="s">
        <v>277</v>
      </c>
      <c r="C73" s="230" t="str">
        <f>IF(C74*0.1&lt;C72,"Exceed 10% Rule","")</f>
        <v/>
      </c>
      <c r="D73" s="230" t="str">
        <f>IF(D74*0.1&lt;D72,"Exceed 10% Rule","")</f>
        <v/>
      </c>
      <c r="E73" s="170" t="str">
        <f>IF(E74*0.1&lt;E72,"Exceed 10% Rule","")</f>
        <v/>
      </c>
      <c r="G73" s="510">
        <f>'Budget Hearing Notice'!E61</f>
        <v>36.946999999999996</v>
      </c>
      <c r="H73" s="310" t="str">
        <f>CONCATENATE(E1-1," Total Mill Rate")</f>
        <v>2023 Total Mill Rate</v>
      </c>
      <c r="I73" s="505"/>
      <c r="J73" s="506"/>
    </row>
    <row r="74" spans="2:10" x14ac:dyDescent="0.2">
      <c r="B74" s="145" t="s">
        <v>93</v>
      </c>
      <c r="C74" s="457">
        <f>SUM(C66:C72)</f>
        <v>287716</v>
      </c>
      <c r="D74" s="457">
        <f>SUM(D66:D72)</f>
        <v>398500</v>
      </c>
      <c r="E74" s="457">
        <f>SUM(E66:E72)</f>
        <v>483398</v>
      </c>
      <c r="G74" s="321"/>
      <c r="H74" s="293"/>
      <c r="I74" s="293"/>
      <c r="J74" s="323"/>
    </row>
    <row r="75" spans="2:10" x14ac:dyDescent="0.2">
      <c r="B75" s="60" t="s">
        <v>183</v>
      </c>
      <c r="C75" s="106">
        <f>C64-C74</f>
        <v>179568</v>
      </c>
      <c r="D75" s="106">
        <f>D64-D74</f>
        <v>36721</v>
      </c>
      <c r="E75" s="165" t="s">
        <v>66</v>
      </c>
      <c r="G75" s="639" t="s">
        <v>545</v>
      </c>
      <c r="H75" s="640"/>
      <c r="I75" s="640"/>
      <c r="J75" s="643" t="str">
        <f>IF(G72&gt;G71, "Yes", "No")</f>
        <v>No</v>
      </c>
    </row>
    <row r="76" spans="2:10" x14ac:dyDescent="0.2">
      <c r="B76" s="135" t="str">
        <f>CONCATENATE("",E1-2,"/",E1-1,"/",E1," Budget Authority Amount:")</f>
        <v>2022/2023/2024 Budget Authority Amount:</v>
      </c>
      <c r="C76" s="167">
        <f>inputOth!B45</f>
        <v>327737</v>
      </c>
      <c r="D76" s="167">
        <f>inputPrYr!D27</f>
        <v>398500</v>
      </c>
      <c r="E76" s="106">
        <f>E74</f>
        <v>483398</v>
      </c>
      <c r="G76" s="641"/>
      <c r="H76" s="642"/>
      <c r="I76" s="642"/>
      <c r="J76" s="644"/>
    </row>
    <row r="77" spans="2:10" x14ac:dyDescent="0.2">
      <c r="B77" s="125"/>
      <c r="C77" s="647" t="s">
        <v>281</v>
      </c>
      <c r="D77" s="648"/>
      <c r="E77" s="42"/>
      <c r="G77" s="645" t="str">
        <f>IF(J75="Yes", "Follow procedure prescribed by KSA 79-2988 to exceed the Revenue Neutral Rate.", " ")</f>
        <v xml:space="preserve"> </v>
      </c>
      <c r="H77" s="645"/>
      <c r="I77" s="645"/>
      <c r="J77" s="645"/>
    </row>
    <row r="78" spans="2:10" x14ac:dyDescent="0.2">
      <c r="B78" s="263" t="str">
        <f>CONCATENATE(C99,"     ",D99)</f>
        <v xml:space="preserve">     </v>
      </c>
      <c r="C78" s="649" t="s">
        <v>282</v>
      </c>
      <c r="D78" s="650"/>
      <c r="E78" s="106">
        <f>E74+E77</f>
        <v>483398</v>
      </c>
      <c r="G78" s="646"/>
      <c r="H78" s="646"/>
      <c r="I78" s="646"/>
      <c r="J78" s="646"/>
    </row>
    <row r="79" spans="2:10" x14ac:dyDescent="0.2">
      <c r="B79" s="263" t="str">
        <f>CONCATENATE(C100,"     ",D100)</f>
        <v xml:space="preserve">     </v>
      </c>
      <c r="C79" s="152"/>
      <c r="D79" s="90" t="s">
        <v>94</v>
      </c>
      <c r="E79" s="106">
        <f>IF(E78-E64&gt;0,E78-E64,0)</f>
        <v>435765</v>
      </c>
      <c r="F79" s="151"/>
      <c r="G79" s="646"/>
      <c r="H79" s="646"/>
      <c r="I79" s="646"/>
      <c r="J79" s="646"/>
    </row>
    <row r="80" spans="2:10" x14ac:dyDescent="0.2">
      <c r="B80" s="90"/>
      <c r="C80" s="262" t="s">
        <v>283</v>
      </c>
      <c r="D80" s="291">
        <f>inputOth!$E$28</f>
        <v>5.4000000000000003E-3</v>
      </c>
      <c r="E80" s="106">
        <f>ROUND(IF(D80&gt;0,($E$79*D80),0),0)</f>
        <v>2353</v>
      </c>
      <c r="F80" s="238" t="str">
        <f>IF(E74/0.95-E74&lt;E77,"Exceeds 5%","")</f>
        <v/>
      </c>
    </row>
    <row r="81" spans="2:5" x14ac:dyDescent="0.2">
      <c r="B81" s="26"/>
      <c r="C81" s="631" t="str">
        <f>CONCATENATE("Amount of  ",$E$1-1," Ad Valorem Tax")</f>
        <v>Amount of  2023 Ad Valorem Tax</v>
      </c>
      <c r="D81" s="651"/>
      <c r="E81" s="106">
        <f>E79+E80</f>
        <v>438118</v>
      </c>
    </row>
    <row r="82" spans="2:5" x14ac:dyDescent="0.2">
      <c r="B82" s="26"/>
      <c r="C82" s="125"/>
      <c r="D82" s="26"/>
      <c r="E82" s="125"/>
    </row>
    <row r="83" spans="2:5" x14ac:dyDescent="0.2">
      <c r="B83" s="417" t="s">
        <v>341</v>
      </c>
      <c r="C83" s="396"/>
      <c r="D83" s="341"/>
      <c r="E83" s="403"/>
    </row>
    <row r="84" spans="2:5" x14ac:dyDescent="0.2">
      <c r="B84" s="126"/>
      <c r="C84" s="125"/>
      <c r="D84" s="26"/>
      <c r="E84" s="404"/>
    </row>
    <row r="85" spans="2:5" x14ac:dyDescent="0.2">
      <c r="B85" s="397"/>
      <c r="C85" s="402"/>
      <c r="D85" s="44"/>
      <c r="E85" s="405"/>
    </row>
    <row r="86" spans="2:5" x14ac:dyDescent="0.2">
      <c r="B86" s="26"/>
      <c r="C86" s="125"/>
      <c r="D86" s="26"/>
      <c r="E86" s="125"/>
    </row>
    <row r="87" spans="2:5" x14ac:dyDescent="0.2">
      <c r="B87" s="125" t="s">
        <v>133</v>
      </c>
      <c r="C87" s="362">
        <v>11</v>
      </c>
      <c r="D87" s="26"/>
      <c r="E87" s="26"/>
    </row>
    <row r="94" spans="2:5" hidden="1" x14ac:dyDescent="0.2"/>
    <row r="95" spans="2:5" hidden="1" x14ac:dyDescent="0.2"/>
    <row r="96" spans="2:5" hidden="1" x14ac:dyDescent="0.2"/>
    <row r="97" spans="3:4" hidden="1" x14ac:dyDescent="0.2">
      <c r="C97" s="23" t="str">
        <f>IF(C34&gt;C36,"See Tab A","")</f>
        <v/>
      </c>
      <c r="D97" s="23" t="str">
        <f>IF(D34&gt;D36,"See Tab C","")</f>
        <v/>
      </c>
    </row>
    <row r="98" spans="3:4" x14ac:dyDescent="0.2">
      <c r="C98" s="23" t="str">
        <f>IF(C35&lt;0,"See Tab B","")</f>
        <v/>
      </c>
      <c r="D98" s="23" t="str">
        <f>IF(D35&lt;0,"See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C81:D81"/>
    <mergeCell ref="C41:D41"/>
    <mergeCell ref="G67:J68"/>
    <mergeCell ref="G75:I76"/>
    <mergeCell ref="J75:J76"/>
    <mergeCell ref="G77:J79"/>
    <mergeCell ref="C37:D37"/>
    <mergeCell ref="C38:D38"/>
    <mergeCell ref="C77:D77"/>
    <mergeCell ref="C78:D78"/>
    <mergeCell ref="G37:J39"/>
    <mergeCell ref="G10:J10"/>
    <mergeCell ref="G17:J17"/>
    <mergeCell ref="G50:J50"/>
    <mergeCell ref="G57:J57"/>
    <mergeCell ref="G27:J28"/>
    <mergeCell ref="G35:I36"/>
    <mergeCell ref="J35:J36"/>
  </mergeCells>
  <phoneticPr fontId="0" type="noConversion"/>
  <conditionalFormatting sqref="E72">
    <cfRule type="cellIs" dxfId="294" priority="15" stopIfTrue="1" operator="greaterThan">
      <formula>$E$74*0.1</formula>
    </cfRule>
  </conditionalFormatting>
  <conditionalFormatting sqref="E77">
    <cfRule type="cellIs" dxfId="293" priority="16" stopIfTrue="1" operator="greaterThan">
      <formula>$E$74/0.95-$E$74</formula>
    </cfRule>
  </conditionalFormatting>
  <conditionalFormatting sqref="E37">
    <cfRule type="cellIs" dxfId="292" priority="17" stopIfTrue="1" operator="greaterThan">
      <formula>$E$34/0.95-$E$34</formula>
    </cfRule>
  </conditionalFormatting>
  <conditionalFormatting sqref="E32">
    <cfRule type="cellIs" dxfId="291" priority="18" stopIfTrue="1" operator="greaterThan">
      <formula>$E$34*0.1</formula>
    </cfRule>
  </conditionalFormatting>
  <conditionalFormatting sqref="C72">
    <cfRule type="cellIs" dxfId="290" priority="22" stopIfTrue="1" operator="greaterThan">
      <formula>$C$74*0.1</formula>
    </cfRule>
  </conditionalFormatting>
  <conditionalFormatting sqref="D72">
    <cfRule type="cellIs" dxfId="289" priority="23" stopIfTrue="1" operator="greaterThan">
      <formula>$D$74*0.1</formula>
    </cfRule>
  </conditionalFormatting>
  <conditionalFormatting sqref="E61">
    <cfRule type="cellIs" dxfId="288" priority="24" stopIfTrue="1" operator="greaterThan">
      <formula>$E$63*0.1+E81</formula>
    </cfRule>
  </conditionalFormatting>
  <conditionalFormatting sqref="C61">
    <cfRule type="cellIs" dxfId="287" priority="25" stopIfTrue="1" operator="greaterThan">
      <formula>$C$63*0.1</formula>
    </cfRule>
  </conditionalFormatting>
  <conditionalFormatting sqref="D61">
    <cfRule type="cellIs" dxfId="286" priority="26" stopIfTrue="1" operator="greaterThan">
      <formula>$D$63*0.1</formula>
    </cfRule>
  </conditionalFormatting>
  <conditionalFormatting sqref="C32">
    <cfRule type="cellIs" dxfId="285" priority="29" stopIfTrue="1" operator="greaterThan">
      <formula>$C$34*0.1</formula>
    </cfRule>
  </conditionalFormatting>
  <conditionalFormatting sqref="D32">
    <cfRule type="cellIs" dxfId="284" priority="30" stopIfTrue="1" operator="greaterThan">
      <formula>$D$34*0.1</formula>
    </cfRule>
  </conditionalFormatting>
  <conditionalFormatting sqref="E20">
    <cfRule type="cellIs" dxfId="283" priority="31" stopIfTrue="1" operator="greaterThan">
      <formula>$E$22*0.1+E41</formula>
    </cfRule>
  </conditionalFormatting>
  <conditionalFormatting sqref="C20">
    <cfRule type="cellIs" dxfId="282" priority="32" stopIfTrue="1" operator="greaterThan">
      <formula>$C$22*0.1</formula>
    </cfRule>
  </conditionalFormatting>
  <conditionalFormatting sqref="D20">
    <cfRule type="cellIs" dxfId="281" priority="33" stopIfTrue="1" operator="greaterThan">
      <formula>$D$22*0.1</formula>
    </cfRule>
  </conditionalFormatting>
  <conditionalFormatting sqref="J75">
    <cfRule type="containsText" dxfId="280" priority="12" operator="containsText" text="Yes">
      <formula>NOT(ISERROR(SEARCH("Yes",J75)))</formula>
    </cfRule>
  </conditionalFormatting>
  <conditionalFormatting sqref="J35">
    <cfRule type="containsText" dxfId="279" priority="11" operator="containsText" text="Yes">
      <formula>NOT(ISERROR(SEARCH("Yes",J35)))</formula>
    </cfRule>
  </conditionalFormatting>
  <conditionalFormatting sqref="C74">
    <cfRule type="cellIs" dxfId="278" priority="9" stopIfTrue="1" operator="greaterThan">
      <formula>$C$76</formula>
    </cfRule>
  </conditionalFormatting>
  <conditionalFormatting sqref="C36">
    <cfRule type="cellIs" dxfId="277" priority="7" stopIfTrue="1" operator="greaterThan">
      <formula>$C$36</formula>
    </cfRule>
  </conditionalFormatting>
  <conditionalFormatting sqref="D34">
    <cfRule type="cellIs" dxfId="276" priority="8" stopIfTrue="1" operator="greaterThan">
      <formula>$D$36</formula>
    </cfRule>
  </conditionalFormatting>
  <conditionalFormatting sqref="D74">
    <cfRule type="cellIs" dxfId="275" priority="10" stopIfTrue="1" operator="greaterThan">
      <formula>$D$76</formula>
    </cfRule>
  </conditionalFormatting>
  <conditionalFormatting sqref="C75">
    <cfRule type="cellIs" dxfId="274" priority="5" stopIfTrue="1" operator="lessThan">
      <formula>0</formula>
    </cfRule>
  </conditionalFormatting>
  <conditionalFormatting sqref="C35">
    <cfRule type="cellIs" dxfId="273" priority="3" stopIfTrue="1" operator="lessThan">
      <formula>0</formula>
    </cfRule>
  </conditionalFormatting>
  <conditionalFormatting sqref="D35">
    <cfRule type="cellIs" dxfId="272" priority="4" stopIfTrue="1" operator="lessThan">
      <formula>0</formula>
    </cfRule>
  </conditionalFormatting>
  <conditionalFormatting sqref="D75">
    <cfRule type="cellIs" dxfId="271" priority="6" stopIfTrue="1" operator="lessThan">
      <formula>0</formula>
    </cfRule>
  </conditionalFormatting>
  <conditionalFormatting sqref="C34">
    <cfRule type="cellIs" dxfId="270" priority="1" stopIfTrue="1" operator="greaterThan">
      <formula>$C$36</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B1:K99"/>
  <sheetViews>
    <sheetView zoomScaleNormal="100"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5.8867187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inputPrYr!B28</f>
        <v>Economic Development</v>
      </c>
      <c r="C5" s="231" t="str">
        <f>CONCATENATE("Actual for ",E1-2,"")</f>
        <v>Actual for 2022</v>
      </c>
      <c r="D5" s="231" t="str">
        <f>CONCATENATE("Estimate for ",E1-1,"")</f>
        <v>Estimate for 2023</v>
      </c>
      <c r="E5" s="136" t="str">
        <f>CONCATENATE("Year for ",E1,"")</f>
        <v>Year for 2024</v>
      </c>
    </row>
    <row r="6" spans="2:10" x14ac:dyDescent="0.2">
      <c r="B6" s="60" t="s">
        <v>182</v>
      </c>
      <c r="C6" s="229">
        <v>109056</v>
      </c>
      <c r="D6" s="232">
        <f>C34</f>
        <v>101792</v>
      </c>
      <c r="E6" s="106">
        <f>D34</f>
        <v>72739</v>
      </c>
    </row>
    <row r="7" spans="2:10" x14ac:dyDescent="0.2">
      <c r="B7" s="128" t="s">
        <v>184</v>
      </c>
      <c r="C7" s="139"/>
      <c r="D7" s="139"/>
      <c r="E7" s="50"/>
    </row>
    <row r="8" spans="2:10" x14ac:dyDescent="0.2">
      <c r="B8" s="60" t="s">
        <v>81</v>
      </c>
      <c r="C8" s="229">
        <v>79503</v>
      </c>
      <c r="D8" s="232">
        <f>IF(inputPrYr!H28&gt;0,inputPrYr!H28,inputPrYr!E28)</f>
        <v>79239</v>
      </c>
      <c r="E8" s="165" t="s">
        <v>66</v>
      </c>
      <c r="G8" s="652" t="str">
        <f>CONCATENATE("Desired Carryover Into ",E1+1,"")</f>
        <v>Desired Carryover Into 2025</v>
      </c>
      <c r="H8" s="653"/>
      <c r="I8" s="653"/>
      <c r="J8" s="654"/>
    </row>
    <row r="9" spans="2:10" x14ac:dyDescent="0.2">
      <c r="B9" s="60" t="s">
        <v>82</v>
      </c>
      <c r="C9" s="229">
        <v>928</v>
      </c>
      <c r="D9" s="229">
        <v>1160</v>
      </c>
      <c r="E9" s="42"/>
      <c r="G9" s="292"/>
      <c r="H9" s="293"/>
      <c r="I9" s="294"/>
      <c r="J9" s="295"/>
    </row>
    <row r="10" spans="2:10" x14ac:dyDescent="0.2">
      <c r="B10" s="60" t="s">
        <v>83</v>
      </c>
      <c r="C10" s="229">
        <v>5640</v>
      </c>
      <c r="D10" s="229">
        <v>4651</v>
      </c>
      <c r="E10" s="106">
        <f>Mvalloc!D18</f>
        <v>4507</v>
      </c>
      <c r="G10" s="296" t="s">
        <v>284</v>
      </c>
      <c r="H10" s="294"/>
      <c r="I10" s="294"/>
      <c r="J10" s="297">
        <v>0</v>
      </c>
    </row>
    <row r="11" spans="2:10" x14ac:dyDescent="0.2">
      <c r="B11" s="60" t="s">
        <v>84</v>
      </c>
      <c r="C11" s="229">
        <v>120</v>
      </c>
      <c r="D11" s="229">
        <v>108</v>
      </c>
      <c r="E11" s="106">
        <f>Mvalloc!E18</f>
        <v>102</v>
      </c>
      <c r="G11" s="292" t="s">
        <v>285</v>
      </c>
      <c r="H11" s="293"/>
      <c r="I11" s="293"/>
      <c r="J11" s="298" t="str">
        <f>IF(J10=0,"",ROUND((J10+E40-G23)/inputOth!E6*1000,3)-G28)</f>
        <v/>
      </c>
    </row>
    <row r="12" spans="2:10" x14ac:dyDescent="0.2">
      <c r="B12" s="139" t="s">
        <v>163</v>
      </c>
      <c r="C12" s="229"/>
      <c r="D12" s="229">
        <v>837</v>
      </c>
      <c r="E12" s="106">
        <f>Mvalloc!F18</f>
        <v>847</v>
      </c>
      <c r="G12" s="299" t="str">
        <f>CONCATENATE("",E1," Tot Exp/Non-Appr Must Be:")</f>
        <v>2024 Tot Exp/Non-Appr Must Be:</v>
      </c>
      <c r="H12" s="300"/>
      <c r="I12" s="301"/>
      <c r="J12" s="302">
        <f>IF(J10&gt;0,IF(E37&lt;E23,IF(J10=G23,E37,((J10-G23)*(1-D39))+E23),E37+(J10-G23)),0)</f>
        <v>0</v>
      </c>
    </row>
    <row r="13" spans="2:10" x14ac:dyDescent="0.2">
      <c r="B13" s="137" t="s">
        <v>335</v>
      </c>
      <c r="C13" s="229">
        <v>0</v>
      </c>
      <c r="D13" s="229">
        <v>272</v>
      </c>
      <c r="E13" s="106">
        <f>Mvalloc!G18</f>
        <v>262</v>
      </c>
      <c r="G13" s="303" t="s">
        <v>305</v>
      </c>
      <c r="H13" s="304"/>
      <c r="I13" s="304"/>
      <c r="J13" s="305">
        <f>IF(J10&gt;0,J12-E37,0)</f>
        <v>0</v>
      </c>
    </row>
    <row r="14" spans="2:10" x14ac:dyDescent="0.25">
      <c r="B14" s="137" t="s">
        <v>336</v>
      </c>
      <c r="C14" s="229"/>
      <c r="D14" s="229">
        <v>55</v>
      </c>
      <c r="E14" s="106">
        <f>Mvalloc!H18</f>
        <v>53</v>
      </c>
      <c r="G14" s="1"/>
      <c r="H14" s="1"/>
      <c r="I14" s="1"/>
      <c r="J14" s="1"/>
    </row>
    <row r="15" spans="2:10" x14ac:dyDescent="0.2">
      <c r="B15" s="150" t="s">
        <v>1014</v>
      </c>
      <c r="C15" s="229"/>
      <c r="D15" s="229"/>
      <c r="E15" s="42"/>
      <c r="G15" s="652" t="str">
        <f>CONCATENATE("Projected Carryover Into ",E1+1,"")</f>
        <v>Projected Carryover Into 2025</v>
      </c>
      <c r="H15" s="658"/>
      <c r="I15" s="658"/>
      <c r="J15" s="659"/>
    </row>
    <row r="16" spans="2:10" x14ac:dyDescent="0.2">
      <c r="B16" s="150" t="s">
        <v>1015</v>
      </c>
      <c r="C16" s="229"/>
      <c r="D16" s="229">
        <v>24563</v>
      </c>
      <c r="E16" s="42"/>
      <c r="G16" s="292"/>
      <c r="H16" s="294"/>
      <c r="I16" s="294"/>
      <c r="J16" s="311"/>
    </row>
    <row r="17" spans="2:11" x14ac:dyDescent="0.2">
      <c r="B17" s="150"/>
      <c r="C17" s="229"/>
      <c r="D17" s="229"/>
      <c r="E17" s="42"/>
      <c r="G17" s="312">
        <f>D34</f>
        <v>72739</v>
      </c>
      <c r="H17" s="310" t="str">
        <f>CONCATENATE("",E1-1," Ending Cash Balance (est.)")</f>
        <v>2023 Ending Cash Balance (est.)</v>
      </c>
      <c r="I17" s="313"/>
      <c r="J17" s="311"/>
    </row>
    <row r="18" spans="2:11" x14ac:dyDescent="0.2">
      <c r="B18" s="142" t="s">
        <v>87</v>
      </c>
      <c r="C18" s="229"/>
      <c r="D18" s="229"/>
      <c r="E18" s="42"/>
      <c r="G18" s="312">
        <f>E22</f>
        <v>3602</v>
      </c>
      <c r="H18" s="294" t="str">
        <f>CONCATENATE("",E1," Non-AV Receipts (est.)")</f>
        <v>2024 Non-AV Receipts (est.)</v>
      </c>
      <c r="I18" s="313"/>
      <c r="J18" s="311"/>
    </row>
    <row r="19" spans="2:11" x14ac:dyDescent="0.2">
      <c r="B19" s="143" t="s">
        <v>40</v>
      </c>
      <c r="C19" s="229">
        <v>-1987</v>
      </c>
      <c r="D19" s="229">
        <v>-1938</v>
      </c>
      <c r="E19" s="106">
        <f>'NR Rebate'!E17*-1</f>
        <v>-2169</v>
      </c>
      <c r="G19" s="314">
        <f>IF(E39&gt;0,E38,E40)</f>
        <v>63659</v>
      </c>
      <c r="H19" s="294" t="str">
        <f>CONCATENATE("",E1," Ad Valorem Tax (est.)")</f>
        <v>2024 Ad Valorem Tax (est.)</v>
      </c>
      <c r="I19" s="313"/>
      <c r="J19" s="311"/>
      <c r="K19" s="308" t="str">
        <f>IF(G19=E40,"","Note: Does not include Delinquent Taxes")</f>
        <v>Note: Does not include Delinquent Taxes</v>
      </c>
    </row>
    <row r="20" spans="2:11" x14ac:dyDescent="0.2">
      <c r="B20" s="143" t="s">
        <v>38</v>
      </c>
      <c r="C20" s="229">
        <v>5413</v>
      </c>
      <c r="D20" s="229"/>
      <c r="E20" s="42"/>
      <c r="G20" s="312">
        <f>SUM(G17:G19)</f>
        <v>140000</v>
      </c>
      <c r="H20" s="294" t="str">
        <f>CONCATENATE("Total ",E1," Resources Available")</f>
        <v>Total 2024 Resources Available</v>
      </c>
      <c r="I20" s="313"/>
      <c r="J20" s="311"/>
    </row>
    <row r="21" spans="2:11" x14ac:dyDescent="0.2">
      <c r="B21" s="143" t="s">
        <v>278</v>
      </c>
      <c r="C21" s="230" t="str">
        <f>IF(C22*0.1&lt;C20,"Exceed 10% Rule","")</f>
        <v/>
      </c>
      <c r="D21" s="230" t="str">
        <f>IF(D22*0.1&lt;D20,"Exceed 10% Rule","")</f>
        <v/>
      </c>
      <c r="E21" s="170" t="str">
        <f>IF(E22*0.1+E40&lt;E20,"Exceed 10% Rule","")</f>
        <v/>
      </c>
      <c r="G21" s="315"/>
      <c r="H21" s="294"/>
      <c r="I21" s="294"/>
      <c r="J21" s="311"/>
    </row>
    <row r="22" spans="2:11" x14ac:dyDescent="0.25">
      <c r="B22" s="145" t="s">
        <v>88</v>
      </c>
      <c r="C22" s="457">
        <f>SUM(C8:C20)</f>
        <v>89617</v>
      </c>
      <c r="D22" s="457">
        <f>SUM(D8:D20)</f>
        <v>108947</v>
      </c>
      <c r="E22" s="457">
        <f>SUM(E8:E20)</f>
        <v>3602</v>
      </c>
      <c r="G22" s="314">
        <f>ROUND(C33*0.05+C33,0)</f>
        <v>101725</v>
      </c>
      <c r="H22" s="294" t="str">
        <f>CONCATENATE("Less ",E1-2," Expenditures + 5%")</f>
        <v>Less 2022 Expenditures + 5%</v>
      </c>
      <c r="I22" s="313"/>
      <c r="J22" s="316"/>
    </row>
    <row r="23" spans="2:11" x14ac:dyDescent="0.2">
      <c r="B23" s="145" t="s">
        <v>89</v>
      </c>
      <c r="C23" s="457">
        <f>C6+C22</f>
        <v>198673</v>
      </c>
      <c r="D23" s="457">
        <f>D6+D22</f>
        <v>210739</v>
      </c>
      <c r="E23" s="457">
        <f>E6+E22</f>
        <v>76341</v>
      </c>
      <c r="G23" s="317">
        <f>G20-G22</f>
        <v>38275</v>
      </c>
      <c r="H23" s="318" t="str">
        <f>CONCATENATE("Projected ",E1+1," carryover (est.)")</f>
        <v>Projected 2025 carryover (est.)</v>
      </c>
      <c r="I23" s="319"/>
      <c r="J23" s="320"/>
    </row>
    <row r="24" spans="2:11" x14ac:dyDescent="0.25">
      <c r="B24" s="60" t="s">
        <v>92</v>
      </c>
      <c r="C24" s="143"/>
      <c r="D24" s="143"/>
      <c r="E24" s="38"/>
      <c r="G24" s="1"/>
      <c r="H24" s="1"/>
      <c r="I24" s="1"/>
      <c r="J24" s="1"/>
    </row>
    <row r="25" spans="2:11" x14ac:dyDescent="0.2">
      <c r="B25" s="150" t="s">
        <v>987</v>
      </c>
      <c r="C25" s="229">
        <v>65950</v>
      </c>
      <c r="D25" s="229">
        <v>83000</v>
      </c>
      <c r="E25" s="42">
        <v>85000</v>
      </c>
      <c r="G25" s="633" t="s">
        <v>543</v>
      </c>
      <c r="H25" s="634"/>
      <c r="I25" s="634"/>
      <c r="J25" s="635"/>
    </row>
    <row r="26" spans="2:11" x14ac:dyDescent="0.2">
      <c r="B26" s="150" t="s">
        <v>1006</v>
      </c>
      <c r="C26" s="229">
        <v>28936</v>
      </c>
      <c r="D26" s="229">
        <v>30000</v>
      </c>
      <c r="E26" s="42">
        <v>30000</v>
      </c>
      <c r="G26" s="636"/>
      <c r="H26" s="637"/>
      <c r="I26" s="637"/>
      <c r="J26" s="638"/>
    </row>
    <row r="27" spans="2:11" x14ac:dyDescent="0.2">
      <c r="B27" s="150" t="s">
        <v>1007</v>
      </c>
      <c r="C27" s="229"/>
      <c r="D27" s="229"/>
      <c r="E27" s="42"/>
      <c r="G27" s="504">
        <f>'Budget Hearing Notice'!H27</f>
        <v>0.40400000000000003</v>
      </c>
      <c r="H27" s="310" t="str">
        <f>CONCATENATE("",E1," Estimated Fund Mill Rate")</f>
        <v>2024 Estimated Fund Mill Rate</v>
      </c>
      <c r="I27" s="505"/>
      <c r="J27" s="506"/>
    </row>
    <row r="28" spans="2:11" x14ac:dyDescent="0.2">
      <c r="B28" s="150" t="s">
        <v>998</v>
      </c>
      <c r="C28" s="229"/>
      <c r="D28" s="229"/>
      <c r="E28" s="42"/>
      <c r="G28" s="507">
        <f>'Budget Hearing Notice'!E27</f>
        <v>0.5</v>
      </c>
      <c r="H28" s="310" t="str">
        <f>CONCATENATE("",E1-1," Fund Mill Rate")</f>
        <v>2023 Fund Mill Rate</v>
      </c>
      <c r="I28" s="505"/>
      <c r="J28" s="506"/>
    </row>
    <row r="29" spans="2:11" x14ac:dyDescent="0.2">
      <c r="B29" s="150" t="s">
        <v>1016</v>
      </c>
      <c r="C29" s="229">
        <v>1995</v>
      </c>
      <c r="D29" s="229">
        <v>25000</v>
      </c>
      <c r="E29" s="42">
        <v>25000</v>
      </c>
      <c r="G29" s="508">
        <f>'Budget Hearing Notice'!H62</f>
        <v>36.917000000000002</v>
      </c>
      <c r="H29" s="509" t="s">
        <v>544</v>
      </c>
      <c r="I29" s="505"/>
      <c r="J29" s="506"/>
    </row>
    <row r="30" spans="2:11" x14ac:dyDescent="0.2">
      <c r="B30" s="143" t="str">
        <f>CONCATENATE("Cash Forward (",E1," column)")</f>
        <v>Cash Forward (2024 column)</v>
      </c>
      <c r="C30" s="229"/>
      <c r="D30" s="229"/>
      <c r="E30" s="42"/>
      <c r="G30" s="504">
        <f>'Budget Hearing Notice'!H61</f>
        <v>36.917000000000002</v>
      </c>
      <c r="H30" s="310" t="str">
        <f>CONCATENATE(E1," Estimated Total Mill Rate")</f>
        <v>2024 Estimated Total Mill Rate</v>
      </c>
      <c r="I30" s="505"/>
      <c r="J30" s="506"/>
    </row>
    <row r="31" spans="2:11" x14ac:dyDescent="0.2">
      <c r="B31" s="143" t="s">
        <v>38</v>
      </c>
      <c r="C31" s="229"/>
      <c r="D31" s="229"/>
      <c r="E31" s="42"/>
      <c r="G31" s="510">
        <f>'Budget Hearing Notice'!E61</f>
        <v>36.946999999999996</v>
      </c>
      <c r="H31" s="310" t="str">
        <f>CONCATENATE(E1-1," Total Mill Rate")</f>
        <v>2023 Total Mill Rate</v>
      </c>
      <c r="I31" s="505"/>
      <c r="J31" s="506"/>
    </row>
    <row r="32" spans="2:11" x14ac:dyDescent="0.2">
      <c r="B32" s="143" t="s">
        <v>277</v>
      </c>
      <c r="C32" s="230" t="str">
        <f>IF(C33*0.1&lt;C31,"Exceed 10% Rule","")</f>
        <v/>
      </c>
      <c r="D32" s="230" t="str">
        <f>IF(D33*0.1&lt;D31,"Exceed 10% Rule","")</f>
        <v/>
      </c>
      <c r="E32" s="170" t="str">
        <f>IF(E33*0.1&lt;E31,"Exceed 10% Rule","")</f>
        <v/>
      </c>
      <c r="G32" s="321"/>
      <c r="H32" s="293"/>
      <c r="I32" s="293"/>
      <c r="J32" s="323"/>
    </row>
    <row r="33" spans="2:10" x14ac:dyDescent="0.2">
      <c r="B33" s="145" t="s">
        <v>93</v>
      </c>
      <c r="C33" s="457">
        <f>SUM(C25:C31)</f>
        <v>96881</v>
      </c>
      <c r="D33" s="457">
        <f>SUM(D25:D31)</f>
        <v>138000</v>
      </c>
      <c r="E33" s="457">
        <f>SUM(E25:E31)</f>
        <v>140000</v>
      </c>
      <c r="G33" s="639" t="s">
        <v>545</v>
      </c>
      <c r="H33" s="640"/>
      <c r="I33" s="640"/>
      <c r="J33" s="643" t="str">
        <f>IF(G30&gt;G29, "Yes", "No")</f>
        <v>No</v>
      </c>
    </row>
    <row r="34" spans="2:10" x14ac:dyDescent="0.2">
      <c r="B34" s="60" t="s">
        <v>183</v>
      </c>
      <c r="C34" s="106">
        <f>C23-C33</f>
        <v>101792</v>
      </c>
      <c r="D34" s="106">
        <f>D23-D33</f>
        <v>72739</v>
      </c>
      <c r="E34" s="165" t="s">
        <v>66</v>
      </c>
      <c r="G34" s="641"/>
      <c r="H34" s="642"/>
      <c r="I34" s="642"/>
      <c r="J34" s="644"/>
    </row>
    <row r="35" spans="2:10" x14ac:dyDescent="0.2">
      <c r="B35" s="135" t="str">
        <f>CONCATENATE("",E1-2,"/",E1-1,"/",E1," Budget Authority Amount:")</f>
        <v>2022/2023/2024 Budget Authority Amount:</v>
      </c>
      <c r="C35" s="167">
        <f>inputOth!B46</f>
        <v>140141</v>
      </c>
      <c r="D35" s="167">
        <f>inputPrYr!D28</f>
        <v>138000</v>
      </c>
      <c r="E35" s="106">
        <f>E33</f>
        <v>140000</v>
      </c>
      <c r="G35" s="645" t="str">
        <f>IF(J33="Yes", "Follow procedure prescribed by KSA 79-2988 to exceed the Revenue Neutral Rate.", " ")</f>
        <v xml:space="preserve"> </v>
      </c>
      <c r="H35" s="645"/>
      <c r="I35" s="645"/>
      <c r="J35" s="645"/>
    </row>
    <row r="36" spans="2:10" x14ac:dyDescent="0.2">
      <c r="B36" s="125"/>
      <c r="C36" s="647" t="s">
        <v>281</v>
      </c>
      <c r="D36" s="648"/>
      <c r="E36" s="42"/>
      <c r="G36" s="646"/>
      <c r="H36" s="646"/>
      <c r="I36" s="646"/>
      <c r="J36" s="646"/>
    </row>
    <row r="37" spans="2:10" x14ac:dyDescent="0.2">
      <c r="B37" s="263" t="str">
        <f>CONCATENATE(C96,"     ",D96)</f>
        <v xml:space="preserve">     </v>
      </c>
      <c r="C37" s="649" t="s">
        <v>282</v>
      </c>
      <c r="D37" s="650"/>
      <c r="E37" s="106">
        <f>E33+E36</f>
        <v>140000</v>
      </c>
      <c r="F37" s="151"/>
      <c r="G37" s="646"/>
      <c r="H37" s="646"/>
      <c r="I37" s="646"/>
      <c r="J37" s="646"/>
    </row>
    <row r="38" spans="2:10" x14ac:dyDescent="0.25">
      <c r="B38" s="263" t="str">
        <f>CONCATENATE(C97,"     ",D97)</f>
        <v xml:space="preserve">     </v>
      </c>
      <c r="C38" s="152"/>
      <c r="D38" s="90" t="s">
        <v>94</v>
      </c>
      <c r="E38" s="106">
        <f>IF(E37-E23&gt;0,E37-E23,0)</f>
        <v>63659</v>
      </c>
      <c r="F38" s="238" t="str">
        <f>IF(E33/0.95-E33&lt;E36,"Exceeds 5%","")</f>
        <v/>
      </c>
      <c r="G38" s="1"/>
      <c r="H38" s="1"/>
      <c r="I38" s="1"/>
      <c r="J38" s="1"/>
    </row>
    <row r="39" spans="2:10" x14ac:dyDescent="0.25">
      <c r="B39" s="90"/>
      <c r="C39" s="262" t="s">
        <v>283</v>
      </c>
      <c r="D39" s="291">
        <f>inputOth!$E$28</f>
        <v>5.4000000000000003E-3</v>
      </c>
      <c r="E39" s="106">
        <f>ROUND(IF(D39&gt;0,($E$38*D39),0),0)</f>
        <v>344</v>
      </c>
      <c r="G39" s="1"/>
      <c r="H39" s="1"/>
      <c r="I39" s="1"/>
      <c r="J39" s="1"/>
    </row>
    <row r="40" spans="2:10" x14ac:dyDescent="0.25">
      <c r="B40" s="26"/>
      <c r="C40" s="631" t="str">
        <f>CONCATENATE("Amount of  ",$E$1-1," Ad Valorem Tax")</f>
        <v>Amount of  2023 Ad Valorem Tax</v>
      </c>
      <c r="D40" s="651"/>
      <c r="E40" s="106">
        <f>E38+E39</f>
        <v>64003</v>
      </c>
      <c r="G40" s="1"/>
      <c r="H40" s="1"/>
      <c r="I40" s="1"/>
      <c r="J40" s="1"/>
    </row>
    <row r="41" spans="2:10" x14ac:dyDescent="0.25">
      <c r="B41" s="26"/>
      <c r="C41" s="155"/>
      <c r="D41" s="155"/>
      <c r="E41" s="155"/>
      <c r="G41" s="1"/>
      <c r="H41" s="1"/>
      <c r="I41" s="1"/>
      <c r="J41" s="1"/>
    </row>
    <row r="42" spans="2:10" x14ac:dyDescent="0.25">
      <c r="B42" s="25" t="s">
        <v>80</v>
      </c>
      <c r="C42" s="333" t="str">
        <f t="shared" ref="C42:E43" si="0">C4</f>
        <v xml:space="preserve">Prior Year </v>
      </c>
      <c r="D42" s="334" t="str">
        <f t="shared" si="0"/>
        <v xml:space="preserve">Current Year </v>
      </c>
      <c r="E42" s="80" t="str">
        <f t="shared" si="0"/>
        <v xml:space="preserve">Proposed Budget </v>
      </c>
      <c r="G42" s="1"/>
      <c r="H42" s="1"/>
      <c r="I42" s="1"/>
      <c r="J42" s="1"/>
    </row>
    <row r="43" spans="2:10" x14ac:dyDescent="0.25">
      <c r="B43" s="246" t="str">
        <f>inputPrYr!B29</f>
        <v>Health</v>
      </c>
      <c r="C43" s="231" t="str">
        <f t="shared" si="0"/>
        <v>Actual for 2022</v>
      </c>
      <c r="D43" s="231" t="str">
        <f t="shared" si="0"/>
        <v>Estimate for 2023</v>
      </c>
      <c r="E43" s="136" t="str">
        <f t="shared" si="0"/>
        <v>Year for 2024</v>
      </c>
      <c r="G43" s="1"/>
      <c r="H43" s="1"/>
      <c r="I43" s="1"/>
      <c r="J43" s="1"/>
    </row>
    <row r="44" spans="2:10" x14ac:dyDescent="0.25">
      <c r="B44" s="60" t="s">
        <v>182</v>
      </c>
      <c r="C44" s="229">
        <v>399077</v>
      </c>
      <c r="D44" s="232">
        <f>C74</f>
        <v>441893</v>
      </c>
      <c r="E44" s="106">
        <f>D74</f>
        <v>219235</v>
      </c>
      <c r="G44" s="1"/>
      <c r="H44" s="1"/>
      <c r="I44" s="1"/>
      <c r="J44" s="1"/>
    </row>
    <row r="45" spans="2:10" x14ac:dyDescent="0.25">
      <c r="B45" s="137" t="s">
        <v>184</v>
      </c>
      <c r="C45" s="139"/>
      <c r="D45" s="139"/>
      <c r="E45" s="50"/>
      <c r="G45" s="1"/>
      <c r="H45" s="1"/>
      <c r="I45" s="1"/>
      <c r="J45" s="1"/>
    </row>
    <row r="46" spans="2:10" x14ac:dyDescent="0.25">
      <c r="B46" s="60" t="s">
        <v>81</v>
      </c>
      <c r="C46" s="229">
        <v>142077</v>
      </c>
      <c r="D46" s="232">
        <f>IF(inputPrYr!H29&gt;0,inputPrYr!H29,inputPrYr!E29)</f>
        <v>141928</v>
      </c>
      <c r="E46" s="165" t="s">
        <v>66</v>
      </c>
      <c r="G46" s="1"/>
      <c r="H46" s="1"/>
      <c r="I46" s="1"/>
      <c r="J46" s="1"/>
    </row>
    <row r="47" spans="2:10" x14ac:dyDescent="0.25">
      <c r="B47" s="60" t="s">
        <v>82</v>
      </c>
      <c r="C47" s="229">
        <v>1443</v>
      </c>
      <c r="D47" s="229">
        <v>1797</v>
      </c>
      <c r="E47" s="42"/>
      <c r="G47" s="1"/>
      <c r="H47" s="1"/>
      <c r="I47" s="1"/>
      <c r="J47" s="1"/>
    </row>
    <row r="48" spans="2:10" x14ac:dyDescent="0.25">
      <c r="B48" s="60" t="s">
        <v>83</v>
      </c>
      <c r="C48" s="229">
        <v>8722</v>
      </c>
      <c r="D48" s="229">
        <v>8342</v>
      </c>
      <c r="E48" s="106">
        <f>Mvalloc!D19</f>
        <v>8072</v>
      </c>
      <c r="G48" s="1"/>
      <c r="H48" s="1"/>
      <c r="I48" s="1"/>
      <c r="J48" s="1"/>
    </row>
    <row r="49" spans="2:11" x14ac:dyDescent="0.25">
      <c r="B49" s="60" t="s">
        <v>84</v>
      </c>
      <c r="C49" s="229">
        <v>197</v>
      </c>
      <c r="D49" s="229">
        <v>194</v>
      </c>
      <c r="E49" s="106">
        <f>Mvalloc!E19</f>
        <v>182</v>
      </c>
      <c r="G49" s="1"/>
      <c r="H49" s="1"/>
      <c r="I49" s="1"/>
      <c r="J49" s="1"/>
    </row>
    <row r="50" spans="2:11" x14ac:dyDescent="0.2">
      <c r="B50" s="139" t="s">
        <v>163</v>
      </c>
      <c r="C50" s="229"/>
      <c r="D50" s="229">
        <v>1501</v>
      </c>
      <c r="E50" s="106">
        <f>Mvalloc!F19</f>
        <v>1516</v>
      </c>
      <c r="G50" s="652" t="str">
        <f>CONCATENATE("Desired Carryover Into ",E1+1,"")</f>
        <v>Desired Carryover Into 2025</v>
      </c>
      <c r="H50" s="653"/>
      <c r="I50" s="653"/>
      <c r="J50" s="654"/>
    </row>
    <row r="51" spans="2:11" x14ac:dyDescent="0.2">
      <c r="B51" s="137" t="s">
        <v>335</v>
      </c>
      <c r="C51" s="229">
        <v>510</v>
      </c>
      <c r="D51" s="229">
        <v>488</v>
      </c>
      <c r="E51" s="106">
        <f>Mvalloc!G19</f>
        <v>469</v>
      </c>
      <c r="G51" s="292"/>
      <c r="H51" s="293"/>
      <c r="I51" s="294"/>
      <c r="J51" s="295"/>
    </row>
    <row r="52" spans="2:11" x14ac:dyDescent="0.2">
      <c r="B52" s="137" t="s">
        <v>336</v>
      </c>
      <c r="C52" s="229"/>
      <c r="D52" s="229">
        <v>99</v>
      </c>
      <c r="E52" s="106">
        <f>Mvalloc!H19</f>
        <v>95</v>
      </c>
      <c r="G52" s="296" t="s">
        <v>284</v>
      </c>
      <c r="H52" s="294"/>
      <c r="I52" s="294"/>
      <c r="J52" s="297">
        <v>0</v>
      </c>
    </row>
    <row r="53" spans="2:11" x14ac:dyDescent="0.2">
      <c r="B53" s="150" t="s">
        <v>1017</v>
      </c>
      <c r="C53" s="229"/>
      <c r="D53" s="229"/>
      <c r="E53" s="42"/>
      <c r="G53" s="292" t="s">
        <v>285</v>
      </c>
      <c r="H53" s="293"/>
      <c r="I53" s="293"/>
      <c r="J53" s="298" t="str">
        <f>IF(J52=0,"",ROUND((J52+E80-G65)/inputOth!E6*1000,3)-G70)</f>
        <v/>
      </c>
    </row>
    <row r="54" spans="2:11" x14ac:dyDescent="0.2">
      <c r="B54" s="150" t="s">
        <v>1018</v>
      </c>
      <c r="C54" s="229"/>
      <c r="D54" s="229"/>
      <c r="E54" s="42">
        <v>238000</v>
      </c>
      <c r="G54" s="299" t="str">
        <f>CONCATENATE("",E1," Tot Exp/Non-Appr Must Be:")</f>
        <v>2024 Tot Exp/Non-Appr Must Be:</v>
      </c>
      <c r="H54" s="300"/>
      <c r="I54" s="301"/>
      <c r="J54" s="302">
        <f>IF(J52&gt;0,IF(E77&lt;E63,IF(J52=G65,E77,((J52-G65)*(1-D79))+E63),E77+(J52-G65)),0)</f>
        <v>0</v>
      </c>
    </row>
    <row r="55" spans="2:11" x14ac:dyDescent="0.2">
      <c r="B55" s="150" t="s">
        <v>1019</v>
      </c>
      <c r="C55" s="229">
        <v>590659</v>
      </c>
      <c r="D55" s="229">
        <v>656000</v>
      </c>
      <c r="E55" s="42">
        <v>548300</v>
      </c>
      <c r="G55" s="303" t="s">
        <v>305</v>
      </c>
      <c r="H55" s="304"/>
      <c r="I55" s="304"/>
      <c r="J55" s="305">
        <f>IF(J52&gt;0,J54-E77,0)</f>
        <v>0</v>
      </c>
    </row>
    <row r="56" spans="2:11" x14ac:dyDescent="0.25">
      <c r="B56" s="150" t="s">
        <v>1020</v>
      </c>
      <c r="C56" s="229">
        <v>207061</v>
      </c>
      <c r="D56" s="229"/>
      <c r="E56" s="42"/>
      <c r="G56" s="1"/>
      <c r="H56" s="1"/>
      <c r="I56" s="1"/>
      <c r="J56" s="1"/>
    </row>
    <row r="57" spans="2:11" x14ac:dyDescent="0.2">
      <c r="B57" s="150"/>
      <c r="C57" s="229"/>
      <c r="D57" s="229"/>
      <c r="E57" s="42"/>
      <c r="G57" s="652" t="str">
        <f>CONCATENATE("Projected Carryover Into ",E1+1,"")</f>
        <v>Projected Carryover Into 2025</v>
      </c>
      <c r="H57" s="660"/>
      <c r="I57" s="660"/>
      <c r="J57" s="659"/>
    </row>
    <row r="58" spans="2:11" x14ac:dyDescent="0.25">
      <c r="B58" s="142" t="s">
        <v>87</v>
      </c>
      <c r="C58" s="229"/>
      <c r="D58" s="229"/>
      <c r="E58" s="42"/>
      <c r="G58" s="321"/>
      <c r="H58" s="293"/>
      <c r="I58" s="293"/>
      <c r="J58" s="316"/>
    </row>
    <row r="59" spans="2:11" x14ac:dyDescent="0.25">
      <c r="B59" s="143" t="s">
        <v>40</v>
      </c>
      <c r="C59" s="229">
        <v>-3563</v>
      </c>
      <c r="D59" s="229">
        <v>-3477</v>
      </c>
      <c r="E59" s="106">
        <f>'NR Rebate'!E18*-1</f>
        <v>-3884</v>
      </c>
      <c r="G59" s="312">
        <f>D74</f>
        <v>219235</v>
      </c>
      <c r="H59" s="310" t="str">
        <f>CONCATENATE("",E1-1," Ending Cash Balance (est.)")</f>
        <v>2023 Ending Cash Balance (est.)</v>
      </c>
      <c r="I59" s="313"/>
      <c r="J59" s="316"/>
    </row>
    <row r="60" spans="2:11" x14ac:dyDescent="0.25">
      <c r="B60" s="143" t="s">
        <v>38</v>
      </c>
      <c r="C60" s="229">
        <v>3505</v>
      </c>
      <c r="D60" s="229">
        <v>470</v>
      </c>
      <c r="E60" s="42">
        <v>72</v>
      </c>
      <c r="G60" s="312">
        <f>E62</f>
        <v>792822</v>
      </c>
      <c r="H60" s="294" t="str">
        <f>CONCATENATE("",E1," Non-AV Receipts (est.)")</f>
        <v>2024 Non-AV Receipts (est.)</v>
      </c>
      <c r="I60" s="313"/>
      <c r="J60" s="316"/>
    </row>
    <row r="61" spans="2:11" x14ac:dyDescent="0.25">
      <c r="B61" s="143" t="s">
        <v>278</v>
      </c>
      <c r="C61" s="230" t="str">
        <f>IF(C62*0.1&lt;C60,"Exceed 10% Rule","")</f>
        <v/>
      </c>
      <c r="D61" s="230" t="str">
        <f>IF(D62*0.1&lt;D60,"Exceed 10% Rule","")</f>
        <v/>
      </c>
      <c r="E61" s="170" t="str">
        <f>IF(E62*0.1+E80&lt;E60,"Exceed 10% Rule","")</f>
        <v/>
      </c>
      <c r="G61" s="314">
        <f>IF(E79&gt;0,E78,E80)</f>
        <v>141166</v>
      </c>
      <c r="H61" s="294" t="str">
        <f>CONCATENATE("",E1," Ad Valorem Tax (est.)")</f>
        <v>2024 Ad Valorem Tax (est.)</v>
      </c>
      <c r="I61" s="313"/>
      <c r="J61" s="316"/>
      <c r="K61" s="308" t="str">
        <f>IF(G61=E80,"","Note: Does not include Delinquent Taxes")</f>
        <v>Note: Does not include Delinquent Taxes</v>
      </c>
    </row>
    <row r="62" spans="2:11" x14ac:dyDescent="0.25">
      <c r="B62" s="145" t="s">
        <v>88</v>
      </c>
      <c r="C62" s="457">
        <f>SUM(C46:C60)</f>
        <v>950611</v>
      </c>
      <c r="D62" s="457">
        <f>SUM(D46:D60)</f>
        <v>807342</v>
      </c>
      <c r="E62" s="457">
        <f>SUM(E46:E60)</f>
        <v>792822</v>
      </c>
      <c r="G62" s="322">
        <f>SUM(G59:G61)</f>
        <v>1153223</v>
      </c>
      <c r="H62" s="294" t="str">
        <f>CONCATENATE("Total ",E1," Resources Available")</f>
        <v>Total 2024 Resources Available</v>
      </c>
      <c r="I62" s="323"/>
      <c r="J62" s="316"/>
    </row>
    <row r="63" spans="2:11" x14ac:dyDescent="0.25">
      <c r="B63" s="145" t="s">
        <v>89</v>
      </c>
      <c r="C63" s="457">
        <f>C44+C62</f>
        <v>1349688</v>
      </c>
      <c r="D63" s="457">
        <f>D44+D62</f>
        <v>1249235</v>
      </c>
      <c r="E63" s="457">
        <f>E44+E62</f>
        <v>1012057</v>
      </c>
      <c r="G63" s="324"/>
      <c r="H63" s="325"/>
      <c r="I63" s="293"/>
      <c r="J63" s="316"/>
    </row>
    <row r="64" spans="2:11" x14ac:dyDescent="0.25">
      <c r="B64" s="60" t="s">
        <v>92</v>
      </c>
      <c r="C64" s="143"/>
      <c r="D64" s="143"/>
      <c r="E64" s="38"/>
      <c r="G64" s="326">
        <f>ROUND(C73*0.05+C73,0)</f>
        <v>953185</v>
      </c>
      <c r="H64" s="294" t="str">
        <f>CONCATENATE("Less ",E1-2," Expenditures + 5%")</f>
        <v>Less 2022 Expenditures + 5%</v>
      </c>
      <c r="I64" s="323"/>
      <c r="J64" s="316"/>
    </row>
    <row r="65" spans="2:10" x14ac:dyDescent="0.25">
      <c r="B65" s="150" t="s">
        <v>987</v>
      </c>
      <c r="C65" s="229">
        <v>497415</v>
      </c>
      <c r="D65" s="229">
        <v>670000</v>
      </c>
      <c r="E65" s="42">
        <v>670000</v>
      </c>
      <c r="G65" s="327">
        <f>G62-G64</f>
        <v>200038</v>
      </c>
      <c r="H65" s="318" t="str">
        <f>CONCATENATE("Projected ",E1+1," carryover (est.)")</f>
        <v>Projected 2025 carryover (est.)</v>
      </c>
      <c r="I65" s="328"/>
      <c r="J65" s="329"/>
    </row>
    <row r="66" spans="2:10" x14ac:dyDescent="0.25">
      <c r="B66" s="150" t="s">
        <v>1006</v>
      </c>
      <c r="C66" s="229">
        <v>166909</v>
      </c>
      <c r="D66" s="229">
        <v>163000</v>
      </c>
      <c r="E66" s="42">
        <v>224231</v>
      </c>
      <c r="G66" s="1"/>
      <c r="H66" s="1"/>
      <c r="I66" s="1"/>
      <c r="J66" s="1"/>
    </row>
    <row r="67" spans="2:10" x14ac:dyDescent="0.2">
      <c r="B67" s="150" t="s">
        <v>1007</v>
      </c>
      <c r="C67" s="229">
        <v>94982</v>
      </c>
      <c r="D67" s="229">
        <v>150000</v>
      </c>
      <c r="E67" s="42">
        <v>211992</v>
      </c>
      <c r="G67" s="633" t="s">
        <v>543</v>
      </c>
      <c r="H67" s="634"/>
      <c r="I67" s="634"/>
      <c r="J67" s="635"/>
    </row>
    <row r="68" spans="2:10" x14ac:dyDescent="0.2">
      <c r="B68" s="150" t="s">
        <v>998</v>
      </c>
      <c r="C68" s="229"/>
      <c r="D68" s="229">
        <v>47000</v>
      </c>
      <c r="E68" s="42">
        <v>47000</v>
      </c>
      <c r="G68" s="636"/>
      <c r="H68" s="637"/>
      <c r="I68" s="637"/>
      <c r="J68" s="638"/>
    </row>
    <row r="69" spans="2:10" x14ac:dyDescent="0.2">
      <c r="B69" s="150" t="s">
        <v>1021</v>
      </c>
      <c r="C69" s="229">
        <v>148489</v>
      </c>
      <c r="D69" s="229"/>
      <c r="E69" s="42"/>
      <c r="G69" s="504">
        <f>'Budget Hearing Notice'!H28</f>
        <v>0.89600000000000002</v>
      </c>
      <c r="H69" s="310" t="str">
        <f>CONCATENATE("",E1," Estimated Fund Mill Rate")</f>
        <v>2024 Estimated Fund Mill Rate</v>
      </c>
      <c r="I69" s="505"/>
      <c r="J69" s="506"/>
    </row>
    <row r="70" spans="2:10" x14ac:dyDescent="0.2">
      <c r="B70" s="143" t="str">
        <f>CONCATENATE("Cash Forward (",E1," column)")</f>
        <v>Cash Forward (2024 column)</v>
      </c>
      <c r="C70" s="229"/>
      <c r="D70" s="229"/>
      <c r="E70" s="42"/>
      <c r="G70" s="507">
        <f>'Budget Hearing Notice'!E28</f>
        <v>0.89700000000000002</v>
      </c>
      <c r="H70" s="310" t="str">
        <f>CONCATENATE("",E1-1," Fund Mill Rate")</f>
        <v>2023 Fund Mill Rate</v>
      </c>
      <c r="I70" s="505"/>
      <c r="J70" s="506"/>
    </row>
    <row r="71" spans="2:10" x14ac:dyDescent="0.2">
      <c r="B71" s="143" t="s">
        <v>38</v>
      </c>
      <c r="C71" s="229"/>
      <c r="D71" s="229"/>
      <c r="E71" s="42"/>
      <c r="G71" s="508">
        <f>'Budget Hearing Notice'!H62</f>
        <v>36.917000000000002</v>
      </c>
      <c r="H71" s="509" t="s">
        <v>544</v>
      </c>
      <c r="I71" s="505"/>
      <c r="J71" s="506"/>
    </row>
    <row r="72" spans="2:10" x14ac:dyDescent="0.2">
      <c r="B72" s="143" t="s">
        <v>277</v>
      </c>
      <c r="C72" s="230" t="str">
        <f>IF(C73*0.1&lt;C71,"Exceed 10% Rule","")</f>
        <v/>
      </c>
      <c r="D72" s="230" t="str">
        <f>IF(D73*0.1&lt;D71,"Exceed 10% Rule","")</f>
        <v/>
      </c>
      <c r="E72" s="170" t="str">
        <f>IF(E73*0.1&lt;E71,"Exceed 10% Rule","")</f>
        <v/>
      </c>
      <c r="G72" s="504">
        <f>'Budget Hearing Notice'!H61</f>
        <v>36.917000000000002</v>
      </c>
      <c r="H72" s="310" t="str">
        <f>CONCATENATE(E1," Estimated Total Mill Rate")</f>
        <v>2024 Estimated Total Mill Rate</v>
      </c>
      <c r="I72" s="505"/>
      <c r="J72" s="506"/>
    </row>
    <row r="73" spans="2:10" x14ac:dyDescent="0.2">
      <c r="B73" s="145" t="s">
        <v>93</v>
      </c>
      <c r="C73" s="457">
        <f>SUM(C65:C71)</f>
        <v>907795</v>
      </c>
      <c r="D73" s="457">
        <f>SUM(D65:D71)</f>
        <v>1030000</v>
      </c>
      <c r="E73" s="457">
        <f>SUM(E65:E71)</f>
        <v>1153223</v>
      </c>
      <c r="G73" s="510">
        <f>'Budget Hearing Notice'!E61</f>
        <v>36.946999999999996</v>
      </c>
      <c r="H73" s="310" t="str">
        <f>CONCATENATE(E1-1," Total Mill Rate")</f>
        <v>2023 Total Mill Rate</v>
      </c>
      <c r="I73" s="505"/>
      <c r="J73" s="506"/>
    </row>
    <row r="74" spans="2:10" x14ac:dyDescent="0.2">
      <c r="B74" s="60" t="s">
        <v>183</v>
      </c>
      <c r="C74" s="106">
        <f>C63-C73</f>
        <v>441893</v>
      </c>
      <c r="D74" s="106">
        <f>D63-D73</f>
        <v>219235</v>
      </c>
      <c r="E74" s="165" t="s">
        <v>66</v>
      </c>
      <c r="G74" s="321"/>
      <c r="H74" s="293"/>
      <c r="I74" s="293"/>
      <c r="J74" s="323"/>
    </row>
    <row r="75" spans="2:10" x14ac:dyDescent="0.2">
      <c r="B75" s="135" t="str">
        <f>CONCATENATE("",E1-2,"/",E1-1,"/",E1," Budget Authority Amount:")</f>
        <v>2022/2023/2024 Budget Authority Amount:</v>
      </c>
      <c r="C75" s="167">
        <f>inputOth!B47</f>
        <v>1026524</v>
      </c>
      <c r="D75" s="167">
        <f>inputPrYr!D29</f>
        <v>1030000</v>
      </c>
      <c r="E75" s="106">
        <f>E73</f>
        <v>1153223</v>
      </c>
      <c r="G75" s="639" t="s">
        <v>545</v>
      </c>
      <c r="H75" s="640"/>
      <c r="I75" s="640"/>
      <c r="J75" s="643" t="str">
        <f>IF(G72&gt;G71, "Yes", "No")</f>
        <v>No</v>
      </c>
    </row>
    <row r="76" spans="2:10" x14ac:dyDescent="0.2">
      <c r="B76" s="125"/>
      <c r="C76" s="647" t="s">
        <v>281</v>
      </c>
      <c r="D76" s="648"/>
      <c r="E76" s="42"/>
      <c r="G76" s="641"/>
      <c r="H76" s="642"/>
      <c r="I76" s="642"/>
      <c r="J76" s="644"/>
    </row>
    <row r="77" spans="2:10" x14ac:dyDescent="0.2">
      <c r="B77" s="263" t="str">
        <f>CONCATENATE(C98,"     ",D98)</f>
        <v xml:space="preserve">     </v>
      </c>
      <c r="C77" s="649" t="s">
        <v>282</v>
      </c>
      <c r="D77" s="650"/>
      <c r="E77" s="106">
        <f>E73+E76</f>
        <v>1153223</v>
      </c>
      <c r="G77" s="645" t="str">
        <f>IF(J75="Yes", "Follow procedure prescribed by KSA 79-2988 to exceed the Revenue Neutral Rate.", " ")</f>
        <v xml:space="preserve"> </v>
      </c>
      <c r="H77" s="645"/>
      <c r="I77" s="645"/>
      <c r="J77" s="645"/>
    </row>
    <row r="78" spans="2:10" x14ac:dyDescent="0.2">
      <c r="B78" s="263" t="str">
        <f>CONCATENATE(C99,"     ",D99)</f>
        <v xml:space="preserve">     </v>
      </c>
      <c r="C78" s="152"/>
      <c r="D78" s="90" t="s">
        <v>94</v>
      </c>
      <c r="E78" s="106">
        <f>IF(E77-E63&gt;0,E77-E63,0)</f>
        <v>141166</v>
      </c>
      <c r="G78" s="646"/>
      <c r="H78" s="646"/>
      <c r="I78" s="646"/>
      <c r="J78" s="646"/>
    </row>
    <row r="79" spans="2:10" x14ac:dyDescent="0.2">
      <c r="B79" s="90"/>
      <c r="C79" s="262" t="s">
        <v>283</v>
      </c>
      <c r="D79" s="291">
        <f>inputOth!$E$28</f>
        <v>5.4000000000000003E-3</v>
      </c>
      <c r="E79" s="106">
        <f>ROUND(IF(D79&gt;0,($E$78*D79),0),0)</f>
        <v>762</v>
      </c>
      <c r="F79" s="151"/>
      <c r="G79" s="646"/>
      <c r="H79" s="646"/>
      <c r="I79" s="646"/>
      <c r="J79" s="646"/>
    </row>
    <row r="80" spans="2:10" x14ac:dyDescent="0.2">
      <c r="B80" s="135"/>
      <c r="C80" s="631" t="str">
        <f>CONCATENATE("Amount of  ",$E$1-1," Ad Valorem Tax")</f>
        <v>Amount of  2023 Ad Valorem Tax</v>
      </c>
      <c r="D80" s="651"/>
      <c r="E80" s="106">
        <f>E78+E79</f>
        <v>141928</v>
      </c>
      <c r="F80" s="238" t="str">
        <f>IF(E73/0.95-E73&lt;E76,"Exceeds 5%","")</f>
        <v/>
      </c>
    </row>
    <row r="81" spans="2:5" x14ac:dyDescent="0.2">
      <c r="B81" s="135"/>
      <c r="C81" s="125"/>
      <c r="D81" s="135"/>
      <c r="E81" s="125"/>
    </row>
    <row r="82" spans="2:5" x14ac:dyDescent="0.2">
      <c r="B82" s="419" t="s">
        <v>341</v>
      </c>
      <c r="C82" s="396"/>
      <c r="D82" s="406"/>
      <c r="E82" s="403"/>
    </row>
    <row r="83" spans="2:5" x14ac:dyDescent="0.2">
      <c r="B83" s="407"/>
      <c r="C83" s="125"/>
      <c r="D83" s="135"/>
      <c r="E83" s="404"/>
    </row>
    <row r="84" spans="2:5" x14ac:dyDescent="0.2">
      <c r="B84" s="128"/>
      <c r="C84" s="402"/>
      <c r="D84" s="408"/>
      <c r="E84" s="405"/>
    </row>
    <row r="85" spans="2:5" x14ac:dyDescent="0.2">
      <c r="B85" s="135"/>
      <c r="C85" s="125"/>
      <c r="D85" s="135"/>
      <c r="E85" s="125"/>
    </row>
    <row r="86" spans="2:5" x14ac:dyDescent="0.2">
      <c r="B86" s="125" t="s">
        <v>133</v>
      </c>
      <c r="C86" s="362">
        <v>12</v>
      </c>
      <c r="D86" s="26"/>
      <c r="E86" s="26"/>
    </row>
    <row r="95" spans="2:5" hidden="1" x14ac:dyDescent="0.2"/>
    <row r="96" spans="2:5" hidden="1" x14ac:dyDescent="0.2">
      <c r="C96" s="23" t="str">
        <f>IF(C33&gt;C35,"See Tab A","")</f>
        <v/>
      </c>
      <c r="D96" s="23" t="str">
        <f>IF(D33&gt;D35,"See Tab C","")</f>
        <v/>
      </c>
    </row>
    <row r="97" spans="3:4" hidden="1" x14ac:dyDescent="0.2">
      <c r="C97" s="23" t="str">
        <f>IF(C34&lt;0,"See Tab B","")</f>
        <v/>
      </c>
      <c r="D97" s="23" t="str">
        <f>IF(D34&lt;0,"See Tab D","")</f>
        <v/>
      </c>
    </row>
    <row r="98" spans="3:4" hidden="1" x14ac:dyDescent="0.2">
      <c r="C98" s="23" t="str">
        <f>IF(C73&gt;C75,"See Tab A","")</f>
        <v/>
      </c>
      <c r="D98" s="23" t="str">
        <f>IF(D73&gt;D75,"See Tab C","")</f>
        <v/>
      </c>
    </row>
    <row r="99" spans="3:4" x14ac:dyDescent="0.2">
      <c r="C99" s="23" t="str">
        <f>IF(C74&lt;0,"See Tab B","")</f>
        <v/>
      </c>
      <c r="D99" s="23" t="str">
        <f>IF(D74&lt;0,"See Tab D","")</f>
        <v/>
      </c>
    </row>
  </sheetData>
  <sheetProtection sheet="1" objects="1" scenarios="1"/>
  <mergeCells count="18">
    <mergeCell ref="C80:D80"/>
    <mergeCell ref="C40:D40"/>
    <mergeCell ref="G67:J68"/>
    <mergeCell ref="G75:I76"/>
    <mergeCell ref="J75:J76"/>
    <mergeCell ref="G77:J79"/>
    <mergeCell ref="C76:D76"/>
    <mergeCell ref="C77:D77"/>
    <mergeCell ref="G50:J50"/>
    <mergeCell ref="G57:J57"/>
    <mergeCell ref="C36:D36"/>
    <mergeCell ref="C37:D37"/>
    <mergeCell ref="G35:J37"/>
    <mergeCell ref="G8:J8"/>
    <mergeCell ref="G15:J15"/>
    <mergeCell ref="G25:J26"/>
    <mergeCell ref="G33:I34"/>
    <mergeCell ref="J33:J34"/>
  </mergeCells>
  <phoneticPr fontId="0" type="noConversion"/>
  <conditionalFormatting sqref="E71">
    <cfRule type="cellIs" dxfId="269" priority="13" stopIfTrue="1" operator="greaterThan">
      <formula>$E$73*0.1</formula>
    </cfRule>
  </conditionalFormatting>
  <conditionalFormatting sqref="E76">
    <cfRule type="cellIs" dxfId="268" priority="14" stopIfTrue="1" operator="greaterThan">
      <formula>$E$73/0.95-$E$73</formula>
    </cfRule>
  </conditionalFormatting>
  <conditionalFormatting sqref="E36">
    <cfRule type="cellIs" dxfId="267" priority="15" stopIfTrue="1" operator="greaterThan">
      <formula>$E$33/0.95-$E$33</formula>
    </cfRule>
  </conditionalFormatting>
  <conditionalFormatting sqref="E31">
    <cfRule type="cellIs" dxfId="266" priority="16" stopIfTrue="1" operator="greaterThan">
      <formula>$E$33*0.1</formula>
    </cfRule>
  </conditionalFormatting>
  <conditionalFormatting sqref="C71">
    <cfRule type="cellIs" dxfId="265" priority="20" stopIfTrue="1" operator="greaterThan">
      <formula>$C$73*0.1</formula>
    </cfRule>
  </conditionalFormatting>
  <conditionalFormatting sqref="D71">
    <cfRule type="cellIs" dxfId="264" priority="21" stopIfTrue="1" operator="greaterThan">
      <formula>$D$73*0.1</formula>
    </cfRule>
  </conditionalFormatting>
  <conditionalFormatting sqref="E60">
    <cfRule type="cellIs" dxfId="263" priority="22" stopIfTrue="1" operator="greaterThan">
      <formula>$E$62*0.1+E80</formula>
    </cfRule>
  </conditionalFormatting>
  <conditionalFormatting sqref="C60">
    <cfRule type="cellIs" dxfId="262" priority="23" stopIfTrue="1" operator="greaterThan">
      <formula>$C$62*0.1</formula>
    </cfRule>
  </conditionalFormatting>
  <conditionalFormatting sqref="D60">
    <cfRule type="cellIs" dxfId="261" priority="24" stopIfTrue="1" operator="greaterThan">
      <formula>$D$62*0.1</formula>
    </cfRule>
  </conditionalFormatting>
  <conditionalFormatting sqref="C31">
    <cfRule type="cellIs" dxfId="260" priority="27" stopIfTrue="1" operator="greaterThan">
      <formula>$C$33*0.1</formula>
    </cfRule>
  </conditionalFormatting>
  <conditionalFormatting sqref="D31">
    <cfRule type="cellIs" dxfId="259" priority="28" stopIfTrue="1" operator="greaterThan">
      <formula>$D$33*0.1</formula>
    </cfRule>
  </conditionalFormatting>
  <conditionalFormatting sqref="E20">
    <cfRule type="cellIs" dxfId="258" priority="29" stopIfTrue="1" operator="greaterThan">
      <formula>$E$22*0.1+E40</formula>
    </cfRule>
  </conditionalFormatting>
  <conditionalFormatting sqref="C20">
    <cfRule type="cellIs" dxfId="257" priority="30" stopIfTrue="1" operator="greaterThan">
      <formula>$C$22*0.1</formula>
    </cfRule>
  </conditionalFormatting>
  <conditionalFormatting sqref="D20">
    <cfRule type="cellIs" dxfId="256" priority="31" stopIfTrue="1" operator="greaterThan">
      <formula>$D$22*0.1</formula>
    </cfRule>
  </conditionalFormatting>
  <conditionalFormatting sqref="J75">
    <cfRule type="containsText" dxfId="255" priority="10" operator="containsText" text="Yes">
      <formula>NOT(ISERROR(SEARCH("Yes",J75)))</formula>
    </cfRule>
  </conditionalFormatting>
  <conditionalFormatting sqref="J33">
    <cfRule type="containsText" dxfId="254" priority="9" operator="containsText" text="Yes">
      <formula>NOT(ISERROR(SEARCH("Yes",J33)))</formula>
    </cfRule>
  </conditionalFormatting>
  <conditionalFormatting sqref="C33">
    <cfRule type="cellIs" dxfId="253" priority="5" stopIfTrue="1" operator="greaterThan">
      <formula>$C$35</formula>
    </cfRule>
  </conditionalFormatting>
  <conditionalFormatting sqref="D33">
    <cfRule type="cellIs" dxfId="252" priority="6" stopIfTrue="1" operator="greaterThan">
      <formula>$D$35</formula>
    </cfRule>
  </conditionalFormatting>
  <conditionalFormatting sqref="C73">
    <cfRule type="cellIs" dxfId="251" priority="7" stopIfTrue="1" operator="greaterThan">
      <formula>$C$75</formula>
    </cfRule>
  </conditionalFormatting>
  <conditionalFormatting sqref="D73">
    <cfRule type="cellIs" dxfId="250" priority="8" stopIfTrue="1" operator="greaterThan">
      <formula>$D$75</formula>
    </cfRule>
  </conditionalFormatting>
  <conditionalFormatting sqref="C34">
    <cfRule type="cellIs" dxfId="249" priority="1" stopIfTrue="1" operator="lessThan">
      <formula>0</formula>
    </cfRule>
  </conditionalFormatting>
  <conditionalFormatting sqref="D34">
    <cfRule type="cellIs" dxfId="248" priority="2" stopIfTrue="1" operator="lessThan">
      <formula>0</formula>
    </cfRule>
  </conditionalFormatting>
  <conditionalFormatting sqref="C74">
    <cfRule type="cellIs" dxfId="247" priority="3" stopIfTrue="1" operator="lessThan">
      <formula>0</formula>
    </cfRule>
  </conditionalFormatting>
  <conditionalFormatting sqref="D74">
    <cfRule type="cellIs" dxfId="246" priority="4" stopIfTrue="1" operator="lessThan">
      <formula>0</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B1:K100"/>
  <sheetViews>
    <sheetView topLeftCell="A16" zoomScaleNormal="100" workbookViewId="0">
      <selection activeCell="E26" sqref="E26"/>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inputPrYr!B30</f>
        <v>Mental Health Workshop</v>
      </c>
      <c r="C5" s="231" t="str">
        <f>CONCATENATE("Actual for ",E1-2,"")</f>
        <v>Actual for 2022</v>
      </c>
      <c r="D5" s="231" t="str">
        <f>CONCATENATE("Estimate for ",E1-1,"")</f>
        <v>Estimate for 2023</v>
      </c>
      <c r="E5" s="136" t="str">
        <f>CONCATENATE("Year for ",E1,"")</f>
        <v>Year for 2024</v>
      </c>
    </row>
    <row r="6" spans="2:10" x14ac:dyDescent="0.2">
      <c r="B6" s="60" t="s">
        <v>182</v>
      </c>
      <c r="C6" s="229">
        <v>686</v>
      </c>
      <c r="D6" s="232">
        <f>C34</f>
        <v>816</v>
      </c>
      <c r="E6" s="106">
        <f>D34</f>
        <v>639</v>
      </c>
    </row>
    <row r="7" spans="2:10" x14ac:dyDescent="0.2">
      <c r="B7" s="128" t="s">
        <v>184</v>
      </c>
      <c r="C7" s="139"/>
      <c r="D7" s="139"/>
      <c r="E7" s="50"/>
    </row>
    <row r="8" spans="2:10" x14ac:dyDescent="0.2">
      <c r="B8" s="60" t="s">
        <v>81</v>
      </c>
      <c r="C8" s="229">
        <v>28438</v>
      </c>
      <c r="D8" s="232">
        <f>IF(inputPrYr!H30&gt;0,inputPrYr!H30,inputPrYr!E30)</f>
        <v>27759</v>
      </c>
      <c r="E8" s="165" t="s">
        <v>66</v>
      </c>
    </row>
    <row r="9" spans="2:10" x14ac:dyDescent="0.2">
      <c r="B9" s="60" t="s">
        <v>82</v>
      </c>
      <c r="C9" s="229">
        <v>306</v>
      </c>
      <c r="D9" s="229">
        <v>394</v>
      </c>
      <c r="E9" s="42"/>
      <c r="G9" s="652" t="str">
        <f>CONCATENATE("Desired Carryover Into ",E1+1,"")</f>
        <v>Desired Carryover Into 2025</v>
      </c>
      <c r="H9" s="653"/>
      <c r="I9" s="653"/>
      <c r="J9" s="654"/>
    </row>
    <row r="10" spans="2:10" x14ac:dyDescent="0.2">
      <c r="B10" s="60" t="s">
        <v>83</v>
      </c>
      <c r="C10" s="229">
        <v>1720</v>
      </c>
      <c r="D10" s="229">
        <v>1668</v>
      </c>
      <c r="E10" s="106">
        <f>Mvalloc!D20</f>
        <v>1579</v>
      </c>
      <c r="G10" s="292"/>
      <c r="H10" s="293"/>
      <c r="I10" s="294"/>
      <c r="J10" s="295"/>
    </row>
    <row r="11" spans="2:10" x14ac:dyDescent="0.2">
      <c r="B11" s="60" t="s">
        <v>84</v>
      </c>
      <c r="C11" s="229">
        <v>38</v>
      </c>
      <c r="D11" s="229">
        <v>39</v>
      </c>
      <c r="E11" s="106">
        <f>Mvalloc!E20</f>
        <v>36</v>
      </c>
      <c r="G11" s="296" t="s">
        <v>284</v>
      </c>
      <c r="H11" s="294"/>
      <c r="I11" s="294"/>
      <c r="J11" s="297">
        <v>0</v>
      </c>
    </row>
    <row r="12" spans="2:10" x14ac:dyDescent="0.2">
      <c r="B12" s="139" t="s">
        <v>163</v>
      </c>
      <c r="C12" s="229"/>
      <c r="D12" s="229">
        <v>300</v>
      </c>
      <c r="E12" s="106">
        <f>Mvalloc!F20</f>
        <v>297</v>
      </c>
      <c r="G12" s="292" t="s">
        <v>285</v>
      </c>
      <c r="H12" s="293"/>
      <c r="I12" s="293"/>
      <c r="J12" s="298" t="str">
        <f>IF(J11=0,"",ROUND((J11+E40-G24)/inputOth!E6*1000,3)-G29)</f>
        <v/>
      </c>
    </row>
    <row r="13" spans="2:10" x14ac:dyDescent="0.2">
      <c r="B13" s="137" t="s">
        <v>335</v>
      </c>
      <c r="C13" s="229">
        <v>101</v>
      </c>
      <c r="D13" s="229">
        <v>98</v>
      </c>
      <c r="E13" s="106">
        <f>Mvalloc!G20</f>
        <v>92</v>
      </c>
      <c r="G13" s="299" t="str">
        <f>CONCATENATE("",E1," Tot Exp/Non-Appr Must Be:")</f>
        <v>2024 Tot Exp/Non-Appr Must Be:</v>
      </c>
      <c r="H13" s="300"/>
      <c r="I13" s="301"/>
      <c r="J13" s="302">
        <f>IF(J11&gt;0,IF(E37&lt;E23,IF(J11=G24,E37,((J11-G24)*(1-D39))+E23),E37+(J11-G24)),0)</f>
        <v>0</v>
      </c>
    </row>
    <row r="14" spans="2:10" x14ac:dyDescent="0.2">
      <c r="B14" s="137" t="s">
        <v>336</v>
      </c>
      <c r="C14" s="229"/>
      <c r="D14" s="229">
        <v>20</v>
      </c>
      <c r="E14" s="106">
        <f>Mvalloc!H20</f>
        <v>19</v>
      </c>
      <c r="G14" s="303" t="s">
        <v>305</v>
      </c>
      <c r="H14" s="304"/>
      <c r="I14" s="304"/>
      <c r="J14" s="305">
        <f>IF(J11&gt;0,J13-E37,0)</f>
        <v>0</v>
      </c>
    </row>
    <row r="15" spans="2:10" x14ac:dyDescent="0.25">
      <c r="B15" s="150"/>
      <c r="C15" s="229"/>
      <c r="D15" s="229"/>
      <c r="E15" s="42"/>
      <c r="G15" s="1"/>
      <c r="H15" s="1"/>
      <c r="I15" s="1"/>
      <c r="J15" s="1"/>
    </row>
    <row r="16" spans="2:10" x14ac:dyDescent="0.2">
      <c r="B16" s="150"/>
      <c r="C16" s="229"/>
      <c r="D16" s="229"/>
      <c r="E16" s="42"/>
      <c r="G16" s="652" t="str">
        <f>CONCATENATE("Projected Carryover Into ",E1+1,"")</f>
        <v>Projected Carryover Into 2025</v>
      </c>
      <c r="H16" s="658"/>
      <c r="I16" s="658"/>
      <c r="J16" s="659"/>
    </row>
    <row r="17" spans="2:11" x14ac:dyDescent="0.2">
      <c r="B17" s="150"/>
      <c r="C17" s="229"/>
      <c r="D17" s="229"/>
      <c r="E17" s="42"/>
      <c r="G17" s="292"/>
      <c r="H17" s="294"/>
      <c r="I17" s="294"/>
      <c r="J17" s="311"/>
    </row>
    <row r="18" spans="2:11" x14ac:dyDescent="0.2">
      <c r="B18" s="142" t="s">
        <v>87</v>
      </c>
      <c r="C18" s="229"/>
      <c r="D18" s="229"/>
      <c r="E18" s="42"/>
      <c r="G18" s="312">
        <f>D34</f>
        <v>639</v>
      </c>
      <c r="H18" s="310" t="str">
        <f>CONCATENATE("",E1-1," Ending Cash Balance (est.)")</f>
        <v>2023 Ending Cash Balance (est.)</v>
      </c>
      <c r="I18" s="313"/>
      <c r="J18" s="311"/>
    </row>
    <row r="19" spans="2:11" x14ac:dyDescent="0.2">
      <c r="B19" s="143" t="s">
        <v>40</v>
      </c>
      <c r="C19" s="229">
        <v>-713</v>
      </c>
      <c r="D19" s="229">
        <v>-695</v>
      </c>
      <c r="E19" s="106">
        <f>'NR Rebate'!E19*-1</f>
        <v>-885</v>
      </c>
      <c r="G19" s="312">
        <f>E22</f>
        <v>1138</v>
      </c>
      <c r="H19" s="294" t="str">
        <f>CONCATENATE("",E1," Non-AV Receipts (est.)")</f>
        <v>2024 Non-AV Receipts (est.)</v>
      </c>
      <c r="I19" s="313"/>
      <c r="J19" s="311"/>
    </row>
    <row r="20" spans="2:11" x14ac:dyDescent="0.2">
      <c r="B20" s="143" t="s">
        <v>38</v>
      </c>
      <c r="C20" s="229"/>
      <c r="D20" s="229"/>
      <c r="E20" s="42"/>
      <c r="G20" s="314">
        <f>IF(E39&gt;0,E38,E40)</f>
        <v>31983</v>
      </c>
      <c r="H20" s="294" t="str">
        <f>CONCATENATE("",E1," Ad Valorem Tax (est.)")</f>
        <v>2024 Ad Valorem Tax (est.)</v>
      </c>
      <c r="I20" s="313"/>
      <c r="J20" s="311"/>
      <c r="K20" s="308" t="str">
        <f>IF(G20=E40,"","Note: Does not include Delinquent Taxes")</f>
        <v>Note: Does not include Delinquent Taxes</v>
      </c>
    </row>
    <row r="21" spans="2:11" x14ac:dyDescent="0.2">
      <c r="B21" s="143" t="s">
        <v>39</v>
      </c>
      <c r="C21" s="230" t="str">
        <f>IF(C22*0.1&lt;C20,"Exceed 10% Rule","")</f>
        <v/>
      </c>
      <c r="D21" s="230" t="str">
        <f>IF(D22*0.1&lt;D20,"Exceed 10% Rule","")</f>
        <v/>
      </c>
      <c r="E21" s="170" t="str">
        <f>IF(E22*0.1+E40&lt;E20,"Exceed 10% Rule","")</f>
        <v/>
      </c>
      <c r="G21" s="312">
        <f>SUM(G18:G20)</f>
        <v>33760</v>
      </c>
      <c r="H21" s="294" t="str">
        <f>CONCATENATE("Total ",E1," Resources Available")</f>
        <v>Total 2024 Resources Available</v>
      </c>
      <c r="I21" s="313"/>
      <c r="J21" s="311"/>
    </row>
    <row r="22" spans="2:11" x14ac:dyDescent="0.2">
      <c r="B22" s="145" t="s">
        <v>88</v>
      </c>
      <c r="C22" s="457">
        <f>SUM(C8:C20)</f>
        <v>29890</v>
      </c>
      <c r="D22" s="457">
        <f>SUM(D8:D20)</f>
        <v>29583</v>
      </c>
      <c r="E22" s="457">
        <f>SUM(E8:E20)</f>
        <v>1138</v>
      </c>
      <c r="G22" s="315"/>
      <c r="H22" s="294"/>
      <c r="I22" s="294"/>
      <c r="J22" s="311"/>
    </row>
    <row r="23" spans="2:11" x14ac:dyDescent="0.25">
      <c r="B23" s="145" t="s">
        <v>89</v>
      </c>
      <c r="C23" s="457">
        <f>C6+C22</f>
        <v>30576</v>
      </c>
      <c r="D23" s="457">
        <f>D6+D22</f>
        <v>30399</v>
      </c>
      <c r="E23" s="457">
        <f>E6+E22</f>
        <v>1777</v>
      </c>
      <c r="G23" s="314">
        <f>ROUND(C33*0.05+C33,0)</f>
        <v>31248</v>
      </c>
      <c r="H23" s="294" t="str">
        <f>CONCATENATE("Less ",E1-2," Expenditures + 5%")</f>
        <v>Less 2022 Expenditures + 5%</v>
      </c>
      <c r="I23" s="313"/>
      <c r="J23" s="316"/>
    </row>
    <row r="24" spans="2:11" x14ac:dyDescent="0.2">
      <c r="B24" s="60" t="s">
        <v>92</v>
      </c>
      <c r="C24" s="143"/>
      <c r="D24" s="143"/>
      <c r="E24" s="38"/>
      <c r="G24" s="317">
        <f>G21-G23</f>
        <v>2512</v>
      </c>
      <c r="H24" s="318" t="str">
        <f>CONCATENATE("Projected ",E1+1," carryover (est.)")</f>
        <v>Projected 2025 carryover (est.)</v>
      </c>
      <c r="I24" s="319"/>
      <c r="J24" s="320"/>
    </row>
    <row r="25" spans="2:11" x14ac:dyDescent="0.25">
      <c r="B25" s="150" t="s">
        <v>1004</v>
      </c>
      <c r="C25" s="229">
        <v>29760</v>
      </c>
      <c r="D25" s="229">
        <v>29760</v>
      </c>
      <c r="E25" s="42">
        <v>33760</v>
      </c>
      <c r="G25" s="1"/>
      <c r="H25" s="1"/>
      <c r="I25" s="1"/>
      <c r="J25" s="1"/>
    </row>
    <row r="26" spans="2:11" x14ac:dyDescent="0.2">
      <c r="B26" s="150"/>
      <c r="C26" s="229"/>
      <c r="D26" s="229"/>
      <c r="E26" s="42"/>
      <c r="G26" s="633" t="s">
        <v>543</v>
      </c>
      <c r="H26" s="634"/>
      <c r="I26" s="634"/>
      <c r="J26" s="635"/>
    </row>
    <row r="27" spans="2:11" x14ac:dyDescent="0.2">
      <c r="B27" s="150"/>
      <c r="C27" s="229"/>
      <c r="D27" s="229"/>
      <c r="E27" s="42"/>
      <c r="G27" s="636"/>
      <c r="H27" s="637"/>
      <c r="I27" s="637"/>
      <c r="J27" s="638"/>
    </row>
    <row r="28" spans="2:11" x14ac:dyDescent="0.2">
      <c r="B28" s="150"/>
      <c r="C28" s="229"/>
      <c r="D28" s="229"/>
      <c r="E28" s="42"/>
      <c r="G28" s="504">
        <f>'Budget Hearing Notice'!H29</f>
        <v>0.20300000000000001</v>
      </c>
      <c r="H28" s="310" t="str">
        <f>CONCATENATE("",E1," Estimated Fund Mill Rate")</f>
        <v>2024 Estimated Fund Mill Rate</v>
      </c>
      <c r="I28" s="505"/>
      <c r="J28" s="506"/>
    </row>
    <row r="29" spans="2:11" x14ac:dyDescent="0.2">
      <c r="B29" s="150"/>
      <c r="C29" s="229"/>
      <c r="D29" s="229"/>
      <c r="E29" s="42"/>
      <c r="G29" s="507">
        <f>'Budget Hearing Notice'!E29</f>
        <v>0.17499999999999999</v>
      </c>
      <c r="H29" s="310" t="str">
        <f>CONCATENATE("",E1-1," Fund Mill Rate")</f>
        <v>2023 Fund Mill Rate</v>
      </c>
      <c r="I29" s="505"/>
      <c r="J29" s="506"/>
    </row>
    <row r="30" spans="2:11" x14ac:dyDescent="0.2">
      <c r="B30" s="143" t="str">
        <f>CONCATENATE("Cash Forward (",E1," column)")</f>
        <v>Cash Forward (2024 column)</v>
      </c>
      <c r="C30" s="229"/>
      <c r="D30" s="229"/>
      <c r="E30" s="42"/>
      <c r="G30" s="508">
        <f>'Budget Hearing Notice'!H62</f>
        <v>36.917000000000002</v>
      </c>
      <c r="H30" s="509" t="s">
        <v>544</v>
      </c>
      <c r="I30" s="505"/>
      <c r="J30" s="506"/>
    </row>
    <row r="31" spans="2:11" x14ac:dyDescent="0.2">
      <c r="B31" s="143" t="s">
        <v>38</v>
      </c>
      <c r="C31" s="229"/>
      <c r="D31" s="229"/>
      <c r="E31" s="42"/>
      <c r="G31" s="504">
        <f>'Budget Hearing Notice'!H61</f>
        <v>36.917000000000002</v>
      </c>
      <c r="H31" s="310" t="str">
        <f>CONCATENATE(E1," Estimated Total Mill Rate")</f>
        <v>2024 Estimated Total Mill Rate</v>
      </c>
      <c r="I31" s="505"/>
      <c r="J31" s="506"/>
    </row>
    <row r="32" spans="2:11" x14ac:dyDescent="0.2">
      <c r="B32" s="143" t="s">
        <v>41</v>
      </c>
      <c r="C32" s="230" t="str">
        <f>IF(C33*0.1&lt;C31,"Exceed 10% Rule","")</f>
        <v/>
      </c>
      <c r="D32" s="230" t="str">
        <f>IF(D33*0.1&lt;D31,"Exceed 10% Rule","")</f>
        <v/>
      </c>
      <c r="E32" s="170" t="str">
        <f>IF(E33*0.1&lt;E31,"Exceed 10% Rule","")</f>
        <v/>
      </c>
      <c r="G32" s="510">
        <f>'Budget Hearing Notice'!E61</f>
        <v>36.946999999999996</v>
      </c>
      <c r="H32" s="310" t="str">
        <f>CONCATENATE(E1-1," Total Mill Rate")</f>
        <v>2023 Total Mill Rate</v>
      </c>
      <c r="I32" s="505"/>
      <c r="J32" s="506"/>
    </row>
    <row r="33" spans="2:10" x14ac:dyDescent="0.2">
      <c r="B33" s="145" t="s">
        <v>93</v>
      </c>
      <c r="C33" s="457">
        <f>SUM(C25:C31)</f>
        <v>29760</v>
      </c>
      <c r="D33" s="457">
        <f>SUM(D25:D31)</f>
        <v>29760</v>
      </c>
      <c r="E33" s="457">
        <f>SUM(E25:E31)</f>
        <v>33760</v>
      </c>
      <c r="G33" s="321"/>
      <c r="H33" s="293"/>
      <c r="I33" s="293"/>
      <c r="J33" s="323"/>
    </row>
    <row r="34" spans="2:10" x14ac:dyDescent="0.2">
      <c r="B34" s="60" t="s">
        <v>183</v>
      </c>
      <c r="C34" s="106">
        <f>C23-C33</f>
        <v>816</v>
      </c>
      <c r="D34" s="106">
        <f>D23-D33</f>
        <v>639</v>
      </c>
      <c r="E34" s="165" t="s">
        <v>66</v>
      </c>
      <c r="G34" s="639" t="s">
        <v>545</v>
      </c>
      <c r="H34" s="640"/>
      <c r="I34" s="640"/>
      <c r="J34" s="643" t="str">
        <f>IF(G31&gt;G30, "Yes", "No")</f>
        <v>No</v>
      </c>
    </row>
    <row r="35" spans="2:10" x14ac:dyDescent="0.2">
      <c r="B35" s="135" t="str">
        <f>CONCATENATE("",E1-2,"/",E1-1,"/",E1," Budget Authority Amount:")</f>
        <v>2022/2023/2024 Budget Authority Amount:</v>
      </c>
      <c r="C35" s="167">
        <f>inputOth!B48</f>
        <v>30455</v>
      </c>
      <c r="D35" s="167">
        <f>inputPrYr!D30</f>
        <v>29760</v>
      </c>
      <c r="E35" s="106">
        <f>E33</f>
        <v>33760</v>
      </c>
      <c r="G35" s="641"/>
      <c r="H35" s="642"/>
      <c r="I35" s="642"/>
      <c r="J35" s="644"/>
    </row>
    <row r="36" spans="2:10" x14ac:dyDescent="0.2">
      <c r="B36" s="125"/>
      <c r="C36" s="647" t="s">
        <v>281</v>
      </c>
      <c r="D36" s="648"/>
      <c r="E36" s="42"/>
      <c r="G36" s="645" t="str">
        <f>IF(J34="Yes", "Follow procedure prescribed by KSA 79-2988 to exceed the Revenue Neutral Rate.", " ")</f>
        <v xml:space="preserve"> </v>
      </c>
      <c r="H36" s="645"/>
      <c r="I36" s="645"/>
      <c r="J36" s="645"/>
    </row>
    <row r="37" spans="2:10" x14ac:dyDescent="0.2">
      <c r="B37" s="263" t="str">
        <f>CONCATENATE(C97,"     ",D97)</f>
        <v xml:space="preserve">     </v>
      </c>
      <c r="C37" s="649" t="s">
        <v>282</v>
      </c>
      <c r="D37" s="650"/>
      <c r="E37" s="106">
        <f>E33+E36</f>
        <v>33760</v>
      </c>
      <c r="F37" s="151"/>
      <c r="G37" s="646"/>
      <c r="H37" s="646"/>
      <c r="I37" s="646"/>
      <c r="J37" s="646"/>
    </row>
    <row r="38" spans="2:10" x14ac:dyDescent="0.2">
      <c r="B38" s="263" t="str">
        <f>CONCATENATE(C98,"     ",D98)</f>
        <v xml:space="preserve">     </v>
      </c>
      <c r="C38" s="152"/>
      <c r="D38" s="90" t="s">
        <v>94</v>
      </c>
      <c r="E38" s="106">
        <f>IF(E37-E23&gt;0,E37-E23,0)</f>
        <v>31983</v>
      </c>
      <c r="F38" s="238" t="str">
        <f>IF(E33/0.95-E33&lt;E36,"Exceeds 5%","")</f>
        <v/>
      </c>
      <c r="G38" s="646"/>
      <c r="H38" s="646"/>
      <c r="I38" s="646"/>
      <c r="J38" s="646"/>
    </row>
    <row r="39" spans="2:10" x14ac:dyDescent="0.25">
      <c r="B39" s="90"/>
      <c r="C39" s="262" t="s">
        <v>283</v>
      </c>
      <c r="D39" s="291">
        <f>inputOth!$E$28</f>
        <v>5.4000000000000003E-3</v>
      </c>
      <c r="E39" s="106">
        <f>ROUND(IF(D39&gt;0,($E$38*D39),0),0)</f>
        <v>173</v>
      </c>
      <c r="G39" s="1"/>
      <c r="H39" s="1"/>
      <c r="I39" s="1"/>
      <c r="J39" s="1"/>
    </row>
    <row r="40" spans="2:10" x14ac:dyDescent="0.25">
      <c r="B40" s="26"/>
      <c r="C40" s="631" t="str">
        <f>CONCATENATE("Amount of  ",$E$1-1," Ad Valorem Tax")</f>
        <v>Amount of  2023 Ad Valorem Tax</v>
      </c>
      <c r="D40" s="651"/>
      <c r="E40" s="106">
        <f>E38+E39</f>
        <v>32156</v>
      </c>
      <c r="G40" s="1"/>
      <c r="H40" s="1"/>
      <c r="I40" s="1"/>
      <c r="J40" s="1"/>
    </row>
    <row r="41" spans="2:10" x14ac:dyDescent="0.25">
      <c r="B41" s="26"/>
      <c r="C41" s="155"/>
      <c r="D41" s="155"/>
      <c r="E41" s="155"/>
      <c r="G41" s="1"/>
      <c r="H41" s="1"/>
      <c r="I41" s="1"/>
      <c r="J41" s="1"/>
    </row>
    <row r="42" spans="2:10" x14ac:dyDescent="0.25">
      <c r="B42" s="25" t="s">
        <v>80</v>
      </c>
      <c r="C42" s="333" t="str">
        <f t="shared" ref="C42:E43" si="0">C4</f>
        <v xml:space="preserve">Prior Year </v>
      </c>
      <c r="D42" s="334" t="str">
        <f t="shared" si="0"/>
        <v xml:space="preserve">Current Year </v>
      </c>
      <c r="E42" s="80" t="str">
        <f t="shared" si="0"/>
        <v xml:space="preserve">Proposed Budget </v>
      </c>
      <c r="G42" s="1"/>
      <c r="H42" s="1"/>
      <c r="I42" s="1"/>
      <c r="J42" s="1"/>
    </row>
    <row r="43" spans="2:10" x14ac:dyDescent="0.25">
      <c r="B43" s="246" t="str">
        <f>inputPrYr!B31</f>
        <v>Community Mental Health</v>
      </c>
      <c r="C43" s="231" t="str">
        <f t="shared" si="0"/>
        <v>Actual for 2022</v>
      </c>
      <c r="D43" s="231" t="str">
        <f t="shared" si="0"/>
        <v>Estimate for 2023</v>
      </c>
      <c r="E43" s="136" t="str">
        <f t="shared" si="0"/>
        <v>Year for 2024</v>
      </c>
      <c r="G43" s="1"/>
      <c r="H43" s="1"/>
      <c r="I43" s="1"/>
      <c r="J43" s="1"/>
    </row>
    <row r="44" spans="2:10" x14ac:dyDescent="0.25">
      <c r="B44" s="60" t="s">
        <v>182</v>
      </c>
      <c r="C44" s="229">
        <v>0</v>
      </c>
      <c r="D44" s="232">
        <f>C75</f>
        <v>0</v>
      </c>
      <c r="E44" s="106">
        <f>D75</f>
        <v>343</v>
      </c>
      <c r="G44" s="1"/>
      <c r="H44" s="1"/>
      <c r="I44" s="1"/>
      <c r="J44" s="1"/>
    </row>
    <row r="45" spans="2:10" x14ac:dyDescent="0.25">
      <c r="B45" s="137" t="s">
        <v>184</v>
      </c>
      <c r="C45" s="139"/>
      <c r="D45" s="139"/>
      <c r="E45" s="50"/>
      <c r="G45" s="1"/>
      <c r="H45" s="1"/>
      <c r="I45" s="1"/>
      <c r="J45" s="1"/>
    </row>
    <row r="46" spans="2:10" x14ac:dyDescent="0.25">
      <c r="B46" s="60" t="s">
        <v>81</v>
      </c>
      <c r="C46" s="229">
        <v>42580</v>
      </c>
      <c r="D46" s="232">
        <f>IF(inputPrYr!H31&gt;0,inputPrYr!H31,inputPrYr!E31)</f>
        <v>27751</v>
      </c>
      <c r="E46" s="165" t="s">
        <v>66</v>
      </c>
      <c r="G46" s="1"/>
      <c r="H46" s="1"/>
      <c r="I46" s="1"/>
      <c r="J46" s="1"/>
    </row>
    <row r="47" spans="2:10" x14ac:dyDescent="0.25">
      <c r="B47" s="60" t="s">
        <v>82</v>
      </c>
      <c r="C47" s="229">
        <v>305</v>
      </c>
      <c r="D47" s="229">
        <v>440</v>
      </c>
      <c r="E47" s="42">
        <v>300</v>
      </c>
      <c r="G47" s="1"/>
      <c r="H47" s="1"/>
      <c r="I47" s="1"/>
      <c r="J47" s="1"/>
    </row>
    <row r="48" spans="2:10" x14ac:dyDescent="0.25">
      <c r="B48" s="60" t="s">
        <v>83</v>
      </c>
      <c r="C48" s="229">
        <v>1819</v>
      </c>
      <c r="D48" s="229">
        <v>2512</v>
      </c>
      <c r="E48" s="106">
        <f>Mvalloc!D21</f>
        <v>1578</v>
      </c>
      <c r="G48" s="1"/>
      <c r="H48" s="1"/>
      <c r="I48" s="1"/>
      <c r="J48" s="1"/>
    </row>
    <row r="49" spans="2:11" x14ac:dyDescent="0.25">
      <c r="B49" s="60" t="s">
        <v>84</v>
      </c>
      <c r="C49" s="229">
        <v>41</v>
      </c>
      <c r="D49" s="229">
        <v>58</v>
      </c>
      <c r="E49" s="106">
        <f>Mvalloc!E21</f>
        <v>36</v>
      </c>
      <c r="G49" s="1"/>
      <c r="H49" s="1"/>
      <c r="I49" s="1"/>
      <c r="J49" s="1"/>
    </row>
    <row r="50" spans="2:11" x14ac:dyDescent="0.25">
      <c r="B50" s="139" t="s">
        <v>163</v>
      </c>
      <c r="C50" s="229"/>
      <c r="D50" s="229">
        <v>452</v>
      </c>
      <c r="E50" s="106">
        <f>Mvalloc!F21</f>
        <v>296</v>
      </c>
      <c r="G50" s="1"/>
      <c r="H50" s="1"/>
      <c r="I50" s="1"/>
      <c r="J50" s="1"/>
    </row>
    <row r="51" spans="2:11" x14ac:dyDescent="0.2">
      <c r="B51" s="137" t="s">
        <v>335</v>
      </c>
      <c r="C51" s="229">
        <v>106</v>
      </c>
      <c r="D51" s="229">
        <v>147</v>
      </c>
      <c r="E51" s="106">
        <f>Mvalloc!G21</f>
        <v>92</v>
      </c>
      <c r="G51" s="652" t="str">
        <f>CONCATENATE("Desired Carryover Into ",E1+1,"")</f>
        <v>Desired Carryover Into 2025</v>
      </c>
      <c r="H51" s="653"/>
      <c r="I51" s="653"/>
      <c r="J51" s="654"/>
    </row>
    <row r="52" spans="2:11" x14ac:dyDescent="0.2">
      <c r="B52" s="137" t="s">
        <v>336</v>
      </c>
      <c r="C52" s="229"/>
      <c r="D52" s="229">
        <v>30</v>
      </c>
      <c r="E52" s="106">
        <f>Mvalloc!H21</f>
        <v>19</v>
      </c>
      <c r="G52" s="292"/>
      <c r="H52" s="293"/>
      <c r="I52" s="294"/>
      <c r="J52" s="295"/>
    </row>
    <row r="53" spans="2:11" x14ac:dyDescent="0.2">
      <c r="B53" s="150" t="s">
        <v>1022</v>
      </c>
      <c r="C53" s="229"/>
      <c r="D53" s="229">
        <v>14200</v>
      </c>
      <c r="E53" s="42">
        <v>14200</v>
      </c>
      <c r="G53" s="296" t="s">
        <v>284</v>
      </c>
      <c r="H53" s="294"/>
      <c r="I53" s="294"/>
      <c r="J53" s="297">
        <v>0</v>
      </c>
    </row>
    <row r="54" spans="2:11" x14ac:dyDescent="0.2">
      <c r="B54" s="150"/>
      <c r="C54" s="229"/>
      <c r="D54" s="229"/>
      <c r="E54" s="42"/>
      <c r="G54" s="292" t="s">
        <v>285</v>
      </c>
      <c r="H54" s="293"/>
      <c r="I54" s="293"/>
      <c r="J54" s="298" t="str">
        <f>IF(J53=0,"",ROUND((J53+E81-G66)/inputOth!E6*1000,3)-G71)</f>
        <v/>
      </c>
    </row>
    <row r="55" spans="2:11" x14ac:dyDescent="0.2">
      <c r="B55" s="150"/>
      <c r="C55" s="229"/>
      <c r="D55" s="229"/>
      <c r="E55" s="42"/>
      <c r="G55" s="299" t="str">
        <f>CONCATENATE("",E1," Tot Exp/Non-Appr Must Be:")</f>
        <v>2024 Tot Exp/Non-Appr Must Be:</v>
      </c>
      <c r="H55" s="300"/>
      <c r="I55" s="301"/>
      <c r="J55" s="302">
        <f>IF(J53&gt;0,IF(E78&lt;E63,IF(J53=G66,E78,((J53-G66)*(1-D80))+E63),E78+(J53-G66)),0)</f>
        <v>0</v>
      </c>
    </row>
    <row r="56" spans="2:11" x14ac:dyDescent="0.2">
      <c r="B56" s="150"/>
      <c r="C56" s="229"/>
      <c r="D56" s="229"/>
      <c r="E56" s="42"/>
      <c r="G56" s="303" t="s">
        <v>305</v>
      </c>
      <c r="H56" s="304"/>
      <c r="I56" s="304"/>
      <c r="J56" s="305">
        <f>IF(J53&gt;0,J55-E78,0)</f>
        <v>0</v>
      </c>
    </row>
    <row r="57" spans="2:11" x14ac:dyDescent="0.25">
      <c r="B57" s="150"/>
      <c r="C57" s="229"/>
      <c r="D57" s="229"/>
      <c r="E57" s="42"/>
      <c r="G57" s="1"/>
      <c r="H57" s="1"/>
      <c r="I57" s="1"/>
      <c r="J57" s="1"/>
    </row>
    <row r="58" spans="2:11" x14ac:dyDescent="0.2">
      <c r="B58" s="142" t="s">
        <v>87</v>
      </c>
      <c r="C58" s="229"/>
      <c r="D58" s="229"/>
      <c r="E58" s="42"/>
      <c r="G58" s="652" t="str">
        <f>CONCATENATE("Projected Carryover Into ",E1+1,"")</f>
        <v>Projected Carryover Into 2025</v>
      </c>
      <c r="H58" s="660"/>
      <c r="I58" s="660"/>
      <c r="J58" s="659"/>
    </row>
    <row r="59" spans="2:11" x14ac:dyDescent="0.25">
      <c r="B59" s="143" t="s">
        <v>40</v>
      </c>
      <c r="C59" s="229">
        <v>-1072</v>
      </c>
      <c r="D59" s="229">
        <v>-1047</v>
      </c>
      <c r="E59" s="106">
        <f>'NR Rebate'!E20*-1</f>
        <v>-759</v>
      </c>
      <c r="G59" s="321"/>
      <c r="H59" s="293"/>
      <c r="I59" s="293"/>
      <c r="J59" s="316"/>
    </row>
    <row r="60" spans="2:11" x14ac:dyDescent="0.25">
      <c r="B60" s="143" t="s">
        <v>38</v>
      </c>
      <c r="C60" s="229"/>
      <c r="D60" s="229"/>
      <c r="E60" s="42"/>
      <c r="G60" s="312">
        <f>D75</f>
        <v>343</v>
      </c>
      <c r="H60" s="310" t="str">
        <f>CONCATENATE("",E1-1," Ending Cash Balance (est.)")</f>
        <v>2023 Ending Cash Balance (est.)</v>
      </c>
      <c r="I60" s="313"/>
      <c r="J60" s="316"/>
    </row>
    <row r="61" spans="2:11" x14ac:dyDescent="0.25">
      <c r="B61" s="143" t="s">
        <v>39</v>
      </c>
      <c r="C61" s="230" t="str">
        <f>IF(C62*0.1&lt;C60,"Exceed 10% Rule","")</f>
        <v/>
      </c>
      <c r="D61" s="230" t="str">
        <f>IF(D62*0.1&lt;D60,"Exceed 10% Rule","")</f>
        <v/>
      </c>
      <c r="E61" s="170" t="str">
        <f>IF(E62*0.1+E81&lt;E60,"Exceed 10% Rule","")</f>
        <v/>
      </c>
      <c r="G61" s="312">
        <f>E62</f>
        <v>15762</v>
      </c>
      <c r="H61" s="294" t="str">
        <f>CONCATENATE("",E1," Non-AV Receipts (est.)")</f>
        <v>2024 Non-AV Receipts (est.)</v>
      </c>
      <c r="I61" s="313"/>
      <c r="J61" s="316"/>
    </row>
    <row r="62" spans="2:11" x14ac:dyDescent="0.25">
      <c r="B62" s="145" t="s">
        <v>88</v>
      </c>
      <c r="C62" s="457">
        <f>SUM(C46:C60)</f>
        <v>43779</v>
      </c>
      <c r="D62" s="457">
        <f>SUM(D46:D60)</f>
        <v>44543</v>
      </c>
      <c r="E62" s="457">
        <f>SUM(E46:E60)</f>
        <v>15762</v>
      </c>
      <c r="G62" s="314">
        <f>IF(E80&gt;0,E79,E81)</f>
        <v>28095</v>
      </c>
      <c r="H62" s="294" t="str">
        <f>CONCATENATE("",E1," Ad Valorem Tax (est.)")</f>
        <v>2024 Ad Valorem Tax (est.)</v>
      </c>
      <c r="I62" s="313"/>
      <c r="J62" s="316"/>
      <c r="K62" s="308" t="str">
        <f>IF(G62=E81,"","Note: Does not include Delinquent Taxes")</f>
        <v>Note: Does not include Delinquent Taxes</v>
      </c>
    </row>
    <row r="63" spans="2:11" x14ac:dyDescent="0.25">
      <c r="B63" s="145" t="s">
        <v>89</v>
      </c>
      <c r="C63" s="457">
        <f>C44+C62</f>
        <v>43779</v>
      </c>
      <c r="D63" s="457">
        <f>D44+D62</f>
        <v>44543</v>
      </c>
      <c r="E63" s="457">
        <f>E44+E62</f>
        <v>16105</v>
      </c>
      <c r="G63" s="322">
        <f>SUM(G60:G62)</f>
        <v>44200</v>
      </c>
      <c r="H63" s="294" t="str">
        <f>CONCATENATE("Total ",E1," Resources Available")</f>
        <v>Total 2024 Resources Available</v>
      </c>
      <c r="I63" s="323"/>
      <c r="J63" s="316"/>
    </row>
    <row r="64" spans="2:11" x14ac:dyDescent="0.25">
      <c r="B64" s="60" t="s">
        <v>92</v>
      </c>
      <c r="C64" s="143"/>
      <c r="D64" s="143"/>
      <c r="E64" s="38"/>
      <c r="G64" s="324"/>
      <c r="H64" s="325"/>
      <c r="I64" s="293"/>
      <c r="J64" s="316"/>
    </row>
    <row r="65" spans="2:10" x14ac:dyDescent="0.25">
      <c r="B65" s="150" t="s">
        <v>1004</v>
      </c>
      <c r="C65" s="229">
        <v>30000</v>
      </c>
      <c r="D65" s="229">
        <v>30000</v>
      </c>
      <c r="E65" s="42">
        <v>30000</v>
      </c>
      <c r="G65" s="326">
        <f>ROUND(C74*0.05+C74,0)</f>
        <v>45968</v>
      </c>
      <c r="H65" s="294" t="str">
        <f>CONCATENATE("Less ",E1-2," Expenditures + 5%")</f>
        <v>Less 2022 Expenditures + 5%</v>
      </c>
      <c r="I65" s="323"/>
      <c r="J65" s="316"/>
    </row>
    <row r="66" spans="2:10" x14ac:dyDescent="0.25">
      <c r="B66" s="150" t="s">
        <v>1062</v>
      </c>
      <c r="C66" s="229">
        <v>13779</v>
      </c>
      <c r="D66" s="229">
        <v>14200</v>
      </c>
      <c r="E66" s="42">
        <v>14200</v>
      </c>
      <c r="G66" s="327">
        <f>G63-G65</f>
        <v>-1768</v>
      </c>
      <c r="H66" s="318" t="str">
        <f>CONCATENATE("Projected ",E1+1," carryover (est.)")</f>
        <v>Projected 2025 carryover (est.)</v>
      </c>
      <c r="I66" s="328"/>
      <c r="J66" s="329"/>
    </row>
    <row r="67" spans="2:10" x14ac:dyDescent="0.25">
      <c r="B67" s="150"/>
      <c r="C67" s="229"/>
      <c r="D67" s="229"/>
      <c r="E67" s="42"/>
      <c r="G67" s="1"/>
      <c r="H67" s="1"/>
      <c r="I67" s="1"/>
      <c r="J67" s="1"/>
    </row>
    <row r="68" spans="2:10" x14ac:dyDescent="0.2">
      <c r="B68" s="150"/>
      <c r="C68" s="229"/>
      <c r="D68" s="229"/>
      <c r="E68" s="42"/>
      <c r="G68" s="633" t="s">
        <v>543</v>
      </c>
      <c r="H68" s="634"/>
      <c r="I68" s="634"/>
      <c r="J68" s="635"/>
    </row>
    <row r="69" spans="2:10" x14ac:dyDescent="0.2">
      <c r="B69" s="150"/>
      <c r="C69" s="229"/>
      <c r="D69" s="229"/>
      <c r="E69" s="42"/>
      <c r="G69" s="636"/>
      <c r="H69" s="637"/>
      <c r="I69" s="637"/>
      <c r="J69" s="638"/>
    </row>
    <row r="70" spans="2:10" x14ac:dyDescent="0.2">
      <c r="B70" s="150"/>
      <c r="C70" s="229"/>
      <c r="D70" s="229"/>
      <c r="E70" s="42"/>
      <c r="G70" s="504">
        <f>'Budget Hearing Notice'!H30</f>
        <v>0.17799999999999999</v>
      </c>
      <c r="H70" s="310" t="str">
        <f>CONCATENATE("",E1," Estimated Fund Mill Rate")</f>
        <v>2024 Estimated Fund Mill Rate</v>
      </c>
      <c r="I70" s="505"/>
      <c r="J70" s="506"/>
    </row>
    <row r="71" spans="2:10" x14ac:dyDescent="0.2">
      <c r="B71" s="143" t="str">
        <f>CONCATENATE("Cash Forward (",E1," column)")</f>
        <v>Cash Forward (2024 column)</v>
      </c>
      <c r="C71" s="229"/>
      <c r="D71" s="229"/>
      <c r="E71" s="42"/>
      <c r="G71" s="507">
        <f>'Budget Hearing Notice'!E30</f>
        <v>0.17599999999999999</v>
      </c>
      <c r="H71" s="310" t="str">
        <f>CONCATENATE("",E1-1," Fund Mill Rate")</f>
        <v>2023 Fund Mill Rate</v>
      </c>
      <c r="I71" s="505"/>
      <c r="J71" s="506"/>
    </row>
    <row r="72" spans="2:10" x14ac:dyDescent="0.2">
      <c r="B72" s="143" t="s">
        <v>38</v>
      </c>
      <c r="C72" s="229"/>
      <c r="D72" s="229"/>
      <c r="E72" s="42"/>
      <c r="G72" s="508">
        <f>'Budget Hearing Notice'!H62</f>
        <v>36.917000000000002</v>
      </c>
      <c r="H72" s="509" t="s">
        <v>544</v>
      </c>
      <c r="I72" s="505"/>
      <c r="J72" s="506"/>
    </row>
    <row r="73" spans="2:10" x14ac:dyDescent="0.2">
      <c r="B73" s="143" t="s">
        <v>41</v>
      </c>
      <c r="C73" s="170" t="str">
        <f>IF(C74*0.1&lt;C72,"Exceed 10% Rule","")</f>
        <v/>
      </c>
      <c r="D73" s="170" t="str">
        <f>IF(D74*0.1&lt;D72,"Exceed 10% Rule","")</f>
        <v/>
      </c>
      <c r="E73" s="170" t="str">
        <f>IF(E74*0.1&lt;E72,"Exceed 10% Rule","")</f>
        <v/>
      </c>
      <c r="G73" s="504">
        <f>'Budget Hearing Notice'!H61</f>
        <v>36.917000000000002</v>
      </c>
      <c r="H73" s="310" t="str">
        <f>CONCATENATE(E1," Estimated Total Mill Rate")</f>
        <v>2024 Estimated Total Mill Rate</v>
      </c>
      <c r="I73" s="505"/>
      <c r="J73" s="506"/>
    </row>
    <row r="74" spans="2:10" x14ac:dyDescent="0.2">
      <c r="B74" s="145" t="s">
        <v>93</v>
      </c>
      <c r="C74" s="457">
        <f>SUM(C65:C72)</f>
        <v>43779</v>
      </c>
      <c r="D74" s="457">
        <f>SUM(D65:D72)</f>
        <v>44200</v>
      </c>
      <c r="E74" s="457">
        <f>SUM(E65:E72)</f>
        <v>44200</v>
      </c>
      <c r="G74" s="510">
        <f>'Budget Hearing Notice'!E61</f>
        <v>36.946999999999996</v>
      </c>
      <c r="H74" s="310" t="str">
        <f>CONCATENATE(E1-1," Total Mill Rate")</f>
        <v>2023 Total Mill Rate</v>
      </c>
      <c r="I74" s="505"/>
      <c r="J74" s="506"/>
    </row>
    <row r="75" spans="2:10" x14ac:dyDescent="0.2">
      <c r="B75" s="60" t="s">
        <v>183</v>
      </c>
      <c r="C75" s="106">
        <f>C63-C74</f>
        <v>0</v>
      </c>
      <c r="D75" s="106">
        <f>D63-D74</f>
        <v>343</v>
      </c>
      <c r="E75" s="165" t="s">
        <v>66</v>
      </c>
      <c r="G75" s="321"/>
      <c r="H75" s="293"/>
      <c r="I75" s="293"/>
      <c r="J75" s="323"/>
    </row>
    <row r="76" spans="2:10" x14ac:dyDescent="0.2">
      <c r="B76" s="135" t="str">
        <f>CONCATENATE("",E1-2,"/",E1-1,"/",E1," Budget Authority Amount:")</f>
        <v>2022/2023/2024 Budget Authority Amount:</v>
      </c>
      <c r="C76" s="167">
        <f>inputOth!B49</f>
        <v>44936</v>
      </c>
      <c r="D76" s="167">
        <f>inputPrYr!D31</f>
        <v>44200</v>
      </c>
      <c r="E76" s="106">
        <f>E74</f>
        <v>44200</v>
      </c>
      <c r="G76" s="639" t="s">
        <v>545</v>
      </c>
      <c r="H76" s="640"/>
      <c r="I76" s="640"/>
      <c r="J76" s="643" t="str">
        <f>IF(G73&gt;G72, "Yes", "No")</f>
        <v>No</v>
      </c>
    </row>
    <row r="77" spans="2:10" x14ac:dyDescent="0.2">
      <c r="B77" s="125"/>
      <c r="C77" s="647" t="s">
        <v>281</v>
      </c>
      <c r="D77" s="648"/>
      <c r="E77" s="42"/>
      <c r="G77" s="641"/>
      <c r="H77" s="642"/>
      <c r="I77" s="642"/>
      <c r="J77" s="644"/>
    </row>
    <row r="78" spans="2:10" x14ac:dyDescent="0.2">
      <c r="B78" s="263" t="str">
        <f>CONCATENATE(C99,"     ",D99)</f>
        <v xml:space="preserve">     </v>
      </c>
      <c r="C78" s="649" t="s">
        <v>282</v>
      </c>
      <c r="D78" s="650"/>
      <c r="E78" s="106">
        <f>E74+E77</f>
        <v>44200</v>
      </c>
      <c r="G78" s="645" t="str">
        <f>IF(J76="Yes", "Follow procedure prescribed by KSA 79-2988 to exceed the Revenue Neutral Rate.", " ")</f>
        <v xml:space="preserve"> </v>
      </c>
      <c r="H78" s="645"/>
      <c r="I78" s="645"/>
      <c r="J78" s="645"/>
    </row>
    <row r="79" spans="2:10" x14ac:dyDescent="0.2">
      <c r="B79" s="263" t="str">
        <f>CONCATENATE(C100,"     ",D100)</f>
        <v xml:space="preserve">     </v>
      </c>
      <c r="C79" s="152"/>
      <c r="D79" s="90" t="s">
        <v>94</v>
      </c>
      <c r="E79" s="106">
        <f>IF(E78-E63&gt;0,E78-E63,0)</f>
        <v>28095</v>
      </c>
      <c r="F79" s="151"/>
      <c r="G79" s="646"/>
      <c r="H79" s="646"/>
      <c r="I79" s="646"/>
      <c r="J79" s="646"/>
    </row>
    <row r="80" spans="2:10" x14ac:dyDescent="0.2">
      <c r="B80" s="90"/>
      <c r="C80" s="262" t="s">
        <v>283</v>
      </c>
      <c r="D80" s="291">
        <f>inputOth!$E$28</f>
        <v>5.4000000000000003E-3</v>
      </c>
      <c r="E80" s="106">
        <f>ROUND(IF(D80&gt;0,($E$79*D80),0),0)</f>
        <v>152</v>
      </c>
      <c r="F80" s="238" t="str">
        <f>IF(E74/0.95-E74&lt;E77,"Exceeds 5%","")</f>
        <v/>
      </c>
      <c r="G80" s="646"/>
      <c r="H80" s="646"/>
      <c r="I80" s="646"/>
      <c r="J80" s="646"/>
    </row>
    <row r="81" spans="2:5" x14ac:dyDescent="0.2">
      <c r="B81" s="26"/>
      <c r="C81" s="631" t="str">
        <f>CONCATENATE("Amount of  ",$E$1-1," Ad Valorem Tax")</f>
        <v>Amount of  2023 Ad Valorem Tax</v>
      </c>
      <c r="D81" s="651"/>
      <c r="E81" s="106">
        <f>E79+E80</f>
        <v>28247</v>
      </c>
    </row>
    <row r="82" spans="2:5" x14ac:dyDescent="0.2">
      <c r="B82" s="26"/>
      <c r="C82" s="125"/>
      <c r="D82" s="26"/>
      <c r="E82" s="125"/>
    </row>
    <row r="83" spans="2:5" x14ac:dyDescent="0.2">
      <c r="B83" s="417" t="s">
        <v>341</v>
      </c>
      <c r="C83" s="396"/>
      <c r="D83" s="341"/>
      <c r="E83" s="403"/>
    </row>
    <row r="84" spans="2:5" x14ac:dyDescent="0.2">
      <c r="B84" s="126"/>
      <c r="C84" s="125"/>
      <c r="D84" s="26"/>
      <c r="E84" s="404"/>
    </row>
    <row r="85" spans="2:5" x14ac:dyDescent="0.2">
      <c r="B85" s="397"/>
      <c r="C85" s="402"/>
      <c r="D85" s="44"/>
      <c r="E85" s="405"/>
    </row>
    <row r="86" spans="2:5" x14ac:dyDescent="0.2">
      <c r="B86" s="26"/>
      <c r="C86" s="125"/>
      <c r="D86" s="26"/>
      <c r="E86" s="125"/>
    </row>
    <row r="87" spans="2:5" x14ac:dyDescent="0.2">
      <c r="B87" s="125" t="s">
        <v>133</v>
      </c>
      <c r="C87" s="362">
        <v>13</v>
      </c>
      <c r="D87" s="26"/>
      <c r="E87" s="26"/>
    </row>
    <row r="95" spans="2:5" hidden="1" x14ac:dyDescent="0.2"/>
    <row r="96" spans="2:5" hidden="1" x14ac:dyDescent="0.2"/>
    <row r="97" spans="3:4" hidden="1" x14ac:dyDescent="0.2">
      <c r="C97" s="23" t="str">
        <f>IF(C33&gt;C35,"See Tab A","")</f>
        <v/>
      </c>
      <c r="D97" s="23" t="str">
        <f>IF(D33&gt;D35,"See Tab C","")</f>
        <v/>
      </c>
    </row>
    <row r="98" spans="3:4" hidden="1" x14ac:dyDescent="0.2">
      <c r="C98" s="23" t="str">
        <f>IF(C34&lt;0,"See Tab B","")</f>
        <v/>
      </c>
      <c r="D98" s="23" t="str">
        <f>IF(D34&lt;0,"See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G9:J9"/>
    <mergeCell ref="G16:J16"/>
    <mergeCell ref="G51:J51"/>
    <mergeCell ref="G58:J58"/>
    <mergeCell ref="C81:D81"/>
    <mergeCell ref="C40:D40"/>
    <mergeCell ref="G26:J27"/>
    <mergeCell ref="G34:I35"/>
    <mergeCell ref="J34:J35"/>
    <mergeCell ref="G36:J38"/>
    <mergeCell ref="G68:J69"/>
    <mergeCell ref="G76:I77"/>
    <mergeCell ref="J76:J77"/>
    <mergeCell ref="G78:J80"/>
    <mergeCell ref="C36:D36"/>
    <mergeCell ref="C37:D37"/>
    <mergeCell ref="C77:D77"/>
    <mergeCell ref="C78:D78"/>
  </mergeCells>
  <phoneticPr fontId="0" type="noConversion"/>
  <conditionalFormatting sqref="E72">
    <cfRule type="cellIs" dxfId="245" priority="16" stopIfTrue="1" operator="greaterThan">
      <formula>$E$74*0.1</formula>
    </cfRule>
  </conditionalFormatting>
  <conditionalFormatting sqref="E77">
    <cfRule type="cellIs" dxfId="244" priority="17" stopIfTrue="1" operator="greaterThan">
      <formula>$E$74/0.95-$E$74</formula>
    </cfRule>
  </conditionalFormatting>
  <conditionalFormatting sqref="E36">
    <cfRule type="cellIs" dxfId="243" priority="18" stopIfTrue="1" operator="greaterThan">
      <formula>$E$33/0.95-$E$33</formula>
    </cfRule>
  </conditionalFormatting>
  <conditionalFormatting sqref="E31">
    <cfRule type="cellIs" dxfId="242" priority="19" stopIfTrue="1" operator="greaterThan">
      <formula>$E$33*0.1</formula>
    </cfRule>
  </conditionalFormatting>
  <conditionalFormatting sqref="C72">
    <cfRule type="cellIs" dxfId="241" priority="23" stopIfTrue="1" operator="greaterThan">
      <formula>$C$74*0.1</formula>
    </cfRule>
  </conditionalFormatting>
  <conditionalFormatting sqref="D72">
    <cfRule type="cellIs" dxfId="240" priority="24" stopIfTrue="1" operator="greaterThan">
      <formula>$D$74*0.1</formula>
    </cfRule>
  </conditionalFormatting>
  <conditionalFormatting sqref="E60">
    <cfRule type="cellIs" dxfId="239" priority="25" stopIfTrue="1" operator="greaterThan">
      <formula>$E$62*0.1+E81</formula>
    </cfRule>
  </conditionalFormatting>
  <conditionalFormatting sqref="C60">
    <cfRule type="cellIs" dxfId="238" priority="26" stopIfTrue="1" operator="greaterThan">
      <formula>$C$62*0.1</formula>
    </cfRule>
  </conditionalFormatting>
  <conditionalFormatting sqref="D60">
    <cfRule type="cellIs" dxfId="237" priority="27" stopIfTrue="1" operator="greaterThan">
      <formula>$D$62*0.1</formula>
    </cfRule>
  </conditionalFormatting>
  <conditionalFormatting sqref="C31">
    <cfRule type="cellIs" dxfId="236" priority="30" stopIfTrue="1" operator="greaterThan">
      <formula>$C$33*0.1</formula>
    </cfRule>
  </conditionalFormatting>
  <conditionalFormatting sqref="D31">
    <cfRule type="cellIs" dxfId="235" priority="31" stopIfTrue="1" operator="greaterThan">
      <formula>$D$33*0.1</formula>
    </cfRule>
  </conditionalFormatting>
  <conditionalFormatting sqref="E20">
    <cfRule type="cellIs" dxfId="234" priority="32" stopIfTrue="1" operator="greaterThan">
      <formula>$E$22*0.1+E40</formula>
    </cfRule>
  </conditionalFormatting>
  <conditionalFormatting sqref="C20">
    <cfRule type="cellIs" dxfId="233" priority="33" stopIfTrue="1" operator="greaterThan">
      <formula>$C$22*0.1</formula>
    </cfRule>
  </conditionalFormatting>
  <conditionalFormatting sqref="D20">
    <cfRule type="cellIs" dxfId="232" priority="34" stopIfTrue="1" operator="greaterThan">
      <formula>$D$22*0.1</formula>
    </cfRule>
  </conditionalFormatting>
  <conditionalFormatting sqref="J34">
    <cfRule type="containsText" dxfId="231" priority="13" operator="containsText" text="Yes">
      <formula>NOT(ISERROR(SEARCH("Yes",J34)))</formula>
    </cfRule>
  </conditionalFormatting>
  <conditionalFormatting sqref="J76">
    <cfRule type="containsText" dxfId="230" priority="12" operator="containsText" text="Yes">
      <formula>NOT(ISERROR(SEARCH("Yes",J76)))</formula>
    </cfRule>
  </conditionalFormatting>
  <conditionalFormatting sqref="C33">
    <cfRule type="cellIs" dxfId="229" priority="8" stopIfTrue="1" operator="greaterThan">
      <formula>$C$35</formula>
    </cfRule>
  </conditionalFormatting>
  <conditionalFormatting sqref="D33">
    <cfRule type="cellIs" dxfId="228" priority="9" stopIfTrue="1" operator="greaterThan">
      <formula>$D$35</formula>
    </cfRule>
  </conditionalFormatting>
  <conditionalFormatting sqref="C74">
    <cfRule type="cellIs" dxfId="227" priority="6" stopIfTrue="1" operator="greaterThan">
      <formula>$D$76</formula>
    </cfRule>
    <cfRule type="cellIs" dxfId="226" priority="7" stopIfTrue="1" operator="greaterThan">
      <formula>$C$76</formula>
    </cfRule>
  </conditionalFormatting>
  <conditionalFormatting sqref="D74">
    <cfRule type="cellIs" dxfId="225" priority="5" stopIfTrue="1" operator="greaterThan">
      <formula>$D$76</formula>
    </cfRule>
  </conditionalFormatting>
  <conditionalFormatting sqref="C75">
    <cfRule type="cellIs" dxfId="224" priority="1" stopIfTrue="1" operator="lessThan">
      <formula>0</formula>
    </cfRule>
  </conditionalFormatting>
  <conditionalFormatting sqref="D75">
    <cfRule type="cellIs" dxfId="223" priority="2" stopIfTrue="1" operator="lessThan">
      <formula>0</formula>
    </cfRule>
  </conditionalFormatting>
  <conditionalFormatting sqref="C34">
    <cfRule type="cellIs" dxfId="222" priority="3" stopIfTrue="1" operator="lessThan">
      <formula>0</formula>
    </cfRule>
  </conditionalFormatting>
  <conditionalFormatting sqref="D34">
    <cfRule type="cellIs" dxfId="221" priority="4" stopIfTrue="1" operator="lessThan">
      <formula>0</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B1:K100"/>
  <sheetViews>
    <sheetView zoomScaleNormal="100" workbookViewId="0">
      <selection activeCell="E8" sqref="E8"/>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inputPrYr!B32</f>
        <v>Employee Benefit</v>
      </c>
      <c r="C5" s="231" t="str">
        <f>CONCATENATE("Actual for ",E1-2,"")</f>
        <v>Actual for 2022</v>
      </c>
      <c r="D5" s="231" t="str">
        <f>CONCATENATE("Estimate for ",E1-1,"")</f>
        <v>Estimate for 2023</v>
      </c>
      <c r="E5" s="136" t="str">
        <f>CONCATENATE("Year for ",E1,"")</f>
        <v>Year for 2024</v>
      </c>
    </row>
    <row r="6" spans="2:10" x14ac:dyDescent="0.2">
      <c r="B6" s="60" t="s">
        <v>182</v>
      </c>
      <c r="C6" s="229">
        <v>532462</v>
      </c>
      <c r="D6" s="232">
        <f>C35</f>
        <v>567860</v>
      </c>
      <c r="E6" s="106">
        <f>D35</f>
        <v>121336</v>
      </c>
    </row>
    <row r="7" spans="2:10" x14ac:dyDescent="0.2">
      <c r="B7" s="128" t="s">
        <v>184</v>
      </c>
      <c r="C7" s="139"/>
      <c r="D7" s="139"/>
      <c r="E7" s="50"/>
    </row>
    <row r="8" spans="2:10" x14ac:dyDescent="0.2">
      <c r="B8" s="60" t="s">
        <v>81</v>
      </c>
      <c r="C8" s="229">
        <v>559607</v>
      </c>
      <c r="D8" s="232">
        <f>IF(inputPrYr!H32&gt;0,inputPrYr!H32,inputPrYr!E32)</f>
        <v>223421</v>
      </c>
      <c r="E8" s="165" t="s">
        <v>66</v>
      </c>
    </row>
    <row r="9" spans="2:10" x14ac:dyDescent="0.2">
      <c r="B9" s="60" t="s">
        <v>82</v>
      </c>
      <c r="C9" s="229">
        <v>5429</v>
      </c>
      <c r="D9" s="229">
        <v>6854</v>
      </c>
      <c r="E9" s="42"/>
      <c r="G9" s="652" t="str">
        <f>CONCATENATE("Desired Carryover Into ",E1+1,"")</f>
        <v>Desired Carryover Into 2025</v>
      </c>
      <c r="H9" s="653"/>
      <c r="I9" s="653"/>
      <c r="J9" s="654"/>
    </row>
    <row r="10" spans="2:10" x14ac:dyDescent="0.2">
      <c r="B10" s="60" t="s">
        <v>83</v>
      </c>
      <c r="C10" s="229">
        <v>29957</v>
      </c>
      <c r="D10" s="229">
        <v>32911</v>
      </c>
      <c r="E10" s="106">
        <f>Mvalloc!D22</f>
        <v>12707</v>
      </c>
      <c r="G10" s="292"/>
      <c r="H10" s="293"/>
      <c r="I10" s="294"/>
      <c r="J10" s="295"/>
    </row>
    <row r="11" spans="2:10" x14ac:dyDescent="0.2">
      <c r="B11" s="60" t="s">
        <v>84</v>
      </c>
      <c r="C11" s="229">
        <v>677</v>
      </c>
      <c r="D11" s="229">
        <v>764</v>
      </c>
      <c r="E11" s="106">
        <f>Mvalloc!E22</f>
        <v>287</v>
      </c>
      <c r="G11" s="296" t="s">
        <v>284</v>
      </c>
      <c r="H11" s="294"/>
      <c r="I11" s="294"/>
      <c r="J11" s="297">
        <v>0</v>
      </c>
    </row>
    <row r="12" spans="2:10" x14ac:dyDescent="0.2">
      <c r="B12" s="139" t="s">
        <v>163</v>
      </c>
      <c r="C12" s="229"/>
      <c r="D12" s="229">
        <v>5923</v>
      </c>
      <c r="E12" s="106">
        <f>Mvalloc!F22</f>
        <v>2387</v>
      </c>
      <c r="G12" s="292" t="s">
        <v>285</v>
      </c>
      <c r="H12" s="293"/>
      <c r="I12" s="293"/>
      <c r="J12" s="298" t="str">
        <f>IF(J11=0,"",ROUND((J11+E41-G24)/inputOth!E6*1000,3)-G30)</f>
        <v/>
      </c>
    </row>
    <row r="13" spans="2:10" x14ac:dyDescent="0.2">
      <c r="B13" s="137" t="s">
        <v>335</v>
      </c>
      <c r="C13" s="229">
        <v>1753</v>
      </c>
      <c r="D13" s="229">
        <v>1927</v>
      </c>
      <c r="E13" s="106">
        <f>Mvalloc!G22</f>
        <v>738</v>
      </c>
      <c r="G13" s="299" t="str">
        <f>CONCATENATE("",E1," Tot Exp/Non-Appr Must Be:")</f>
        <v>2024 Tot Exp/Non-Appr Must Be:</v>
      </c>
      <c r="H13" s="300"/>
      <c r="I13" s="301"/>
      <c r="J13" s="302">
        <f>IF(J11&gt;0,IF(E38&lt;E23,IF(J11=G24,E38,((J11-G24)*(1-D40))+E23),E38+(J11-G24)),0)</f>
        <v>0</v>
      </c>
    </row>
    <row r="14" spans="2:10" x14ac:dyDescent="0.2">
      <c r="B14" s="137" t="s">
        <v>336</v>
      </c>
      <c r="C14" s="229"/>
      <c r="D14" s="229">
        <v>392</v>
      </c>
      <c r="E14" s="106">
        <f>Mvalloc!H22</f>
        <v>150</v>
      </c>
      <c r="G14" s="303" t="s">
        <v>305</v>
      </c>
      <c r="H14" s="304"/>
      <c r="I14" s="304"/>
      <c r="J14" s="305">
        <f>IF(J11&gt;0,J13-E38,0)</f>
        <v>0</v>
      </c>
    </row>
    <row r="15" spans="2:10" x14ac:dyDescent="0.25">
      <c r="B15" s="150" t="s">
        <v>1023</v>
      </c>
      <c r="C15" s="229">
        <v>2148</v>
      </c>
      <c r="D15" s="229"/>
      <c r="E15" s="42"/>
      <c r="G15" s="1"/>
      <c r="H15" s="1"/>
      <c r="I15" s="1"/>
      <c r="J15" s="1"/>
    </row>
    <row r="16" spans="2:10" x14ac:dyDescent="0.2">
      <c r="B16" s="150" t="s">
        <v>1024</v>
      </c>
      <c r="C16" s="229">
        <v>2901</v>
      </c>
      <c r="D16" s="229"/>
      <c r="E16" s="42"/>
      <c r="G16" s="652" t="str">
        <f>CONCATENATE("Projected Carryover Into ",E1+1,"")</f>
        <v>Projected Carryover Into 2025</v>
      </c>
      <c r="H16" s="658"/>
      <c r="I16" s="658"/>
      <c r="J16" s="659"/>
    </row>
    <row r="17" spans="2:11" x14ac:dyDescent="0.2">
      <c r="B17" s="150"/>
      <c r="C17" s="229"/>
      <c r="D17" s="229"/>
      <c r="E17" s="42"/>
      <c r="G17" s="292"/>
      <c r="H17" s="294"/>
      <c r="I17" s="294"/>
      <c r="J17" s="311"/>
    </row>
    <row r="18" spans="2:11" x14ac:dyDescent="0.2">
      <c r="B18" s="142" t="s">
        <v>87</v>
      </c>
      <c r="C18" s="229"/>
      <c r="D18" s="229"/>
      <c r="E18" s="42"/>
      <c r="G18" s="312">
        <f>D35</f>
        <v>121336</v>
      </c>
      <c r="H18" s="310" t="str">
        <f>CONCATENATE("",E1-1," Ending Cash Balance (est.)")</f>
        <v>2023 Ending Cash Balance (est.)</v>
      </c>
      <c r="I18" s="313"/>
      <c r="J18" s="311"/>
    </row>
    <row r="19" spans="2:11" x14ac:dyDescent="0.2">
      <c r="B19" s="143" t="s">
        <v>40</v>
      </c>
      <c r="C19" s="229">
        <v>-14057</v>
      </c>
      <c r="D19" s="229">
        <v>-13716</v>
      </c>
      <c r="E19" s="106">
        <f>'NR Rebate'!E21*-1</f>
        <v>-6114</v>
      </c>
      <c r="G19" s="312">
        <f>E22</f>
        <v>10155</v>
      </c>
      <c r="H19" s="294" t="str">
        <f>CONCATENATE("",E1," Non-AV Receipts (est.)")</f>
        <v>2024 Non-AV Receipts (est.)</v>
      </c>
      <c r="I19" s="313"/>
      <c r="J19" s="311"/>
    </row>
    <row r="20" spans="2:11" x14ac:dyDescent="0.2">
      <c r="B20" s="143" t="s">
        <v>38</v>
      </c>
      <c r="C20" s="229">
        <v>468</v>
      </c>
      <c r="D20" s="229"/>
      <c r="E20" s="42"/>
      <c r="G20" s="314">
        <f>IF(E40&gt;0,E39,E41)</f>
        <v>586509</v>
      </c>
      <c r="H20" s="294" t="str">
        <f>CONCATENATE("",E1," Ad Valorem Tax (est.)")</f>
        <v>2024 Ad Valorem Tax (est.)</v>
      </c>
      <c r="I20" s="313"/>
      <c r="J20" s="311"/>
      <c r="K20" s="308" t="str">
        <f>IF(G20=E41,"","Note: Does not include Delinquent Taxes")</f>
        <v>Note: Does not include Delinquent Taxes</v>
      </c>
    </row>
    <row r="21" spans="2:11" x14ac:dyDescent="0.2">
      <c r="B21" s="143" t="s">
        <v>278</v>
      </c>
      <c r="C21" s="230" t="str">
        <f>IF(C22*0.1&lt;C20,"Exceed 10% Rule","")</f>
        <v/>
      </c>
      <c r="D21" s="230" t="str">
        <f>IF(D22*0.1&lt;D20,"Exceed 10% Rule","")</f>
        <v/>
      </c>
      <c r="E21" s="170" t="str">
        <f>IF(E22*0.1+E41&lt;E20,"Exceed 10% Rule","")</f>
        <v/>
      </c>
      <c r="G21" s="312">
        <f>SUM(G18:G20)</f>
        <v>718000</v>
      </c>
      <c r="H21" s="294" t="str">
        <f>CONCATENATE("Total ",E1," Resources Available")</f>
        <v>Total 2024 Resources Available</v>
      </c>
      <c r="I21" s="313"/>
      <c r="J21" s="311"/>
    </row>
    <row r="22" spans="2:11" x14ac:dyDescent="0.2">
      <c r="B22" s="145" t="s">
        <v>88</v>
      </c>
      <c r="C22" s="457">
        <f>SUM(C8:C20)</f>
        <v>588883</v>
      </c>
      <c r="D22" s="457">
        <f>SUM(D8:D20)</f>
        <v>258476</v>
      </c>
      <c r="E22" s="457">
        <f>SUM(E8:E20)</f>
        <v>10155</v>
      </c>
      <c r="G22" s="315"/>
      <c r="H22" s="294"/>
      <c r="I22" s="294"/>
      <c r="J22" s="311"/>
    </row>
    <row r="23" spans="2:11" x14ac:dyDescent="0.25">
      <c r="B23" s="145" t="s">
        <v>89</v>
      </c>
      <c r="C23" s="457">
        <f>C6+C22</f>
        <v>1121345</v>
      </c>
      <c r="D23" s="457">
        <f>D6+D22</f>
        <v>826336</v>
      </c>
      <c r="E23" s="457">
        <f>E6+E22</f>
        <v>131491</v>
      </c>
      <c r="G23" s="314">
        <f>ROUND(C34*0.05+C34,0)</f>
        <v>581159</v>
      </c>
      <c r="H23" s="294" t="str">
        <f>CONCATENATE("Less ",E1-2," Expenditures + 5%")</f>
        <v>Less 2022 Expenditures + 5%</v>
      </c>
      <c r="I23" s="313"/>
      <c r="J23" s="316"/>
    </row>
    <row r="24" spans="2:11" x14ac:dyDescent="0.2">
      <c r="B24" s="60" t="s">
        <v>92</v>
      </c>
      <c r="C24" s="143"/>
      <c r="D24" s="143"/>
      <c r="E24" s="38"/>
      <c r="G24" s="317">
        <f>G21-G23</f>
        <v>136841</v>
      </c>
      <c r="H24" s="318" t="str">
        <f>CONCATENATE("Projected ",E1+1," carryover (est.)")</f>
        <v>Projected 2025 carryover (est.)</v>
      </c>
      <c r="I24" s="319"/>
      <c r="J24" s="320"/>
    </row>
    <row r="25" spans="2:11" x14ac:dyDescent="0.25">
      <c r="B25" s="150" t="s">
        <v>1025</v>
      </c>
      <c r="C25" s="229">
        <v>212800</v>
      </c>
      <c r="D25" s="229">
        <v>265000</v>
      </c>
      <c r="E25" s="42">
        <v>275000</v>
      </c>
      <c r="G25" s="1"/>
      <c r="H25" s="1"/>
      <c r="I25" s="1"/>
      <c r="J25" s="1"/>
    </row>
    <row r="26" spans="2:11" x14ac:dyDescent="0.2">
      <c r="B26" s="150" t="s">
        <v>1026</v>
      </c>
      <c r="C26" s="229">
        <v>4851</v>
      </c>
      <c r="D26" s="229">
        <v>5000</v>
      </c>
      <c r="E26" s="42">
        <v>8000</v>
      </c>
      <c r="G26" s="633" t="s">
        <v>543</v>
      </c>
      <c r="H26" s="634"/>
      <c r="I26" s="634"/>
      <c r="J26" s="635"/>
    </row>
    <row r="27" spans="2:11" x14ac:dyDescent="0.2">
      <c r="B27" s="150" t="s">
        <v>991</v>
      </c>
      <c r="C27" s="229">
        <v>17707</v>
      </c>
      <c r="D27" s="229">
        <v>25000</v>
      </c>
      <c r="E27" s="42">
        <v>25000</v>
      </c>
      <c r="G27" s="636"/>
      <c r="H27" s="637"/>
      <c r="I27" s="637"/>
      <c r="J27" s="638"/>
    </row>
    <row r="28" spans="2:11" x14ac:dyDescent="0.2">
      <c r="B28" s="150" t="s">
        <v>1027</v>
      </c>
      <c r="C28" s="229">
        <v>254658</v>
      </c>
      <c r="D28" s="229">
        <v>325000</v>
      </c>
      <c r="E28" s="42">
        <v>325000</v>
      </c>
      <c r="G28" s="504">
        <f>'Budget Hearing Notice'!H31</f>
        <v>3.7210000000000001</v>
      </c>
      <c r="H28" s="310" t="str">
        <f>CONCATENATE("",E1," Estimated Fund Mill Rate")</f>
        <v>2024 Estimated Fund Mill Rate</v>
      </c>
      <c r="I28" s="505"/>
      <c r="J28" s="506"/>
    </row>
    <row r="29" spans="2:11" x14ac:dyDescent="0.2">
      <c r="B29" s="150" t="s">
        <v>1029</v>
      </c>
      <c r="C29" s="229">
        <v>48469</v>
      </c>
      <c r="D29" s="229">
        <v>70000</v>
      </c>
      <c r="E29" s="42">
        <v>70000</v>
      </c>
      <c r="G29" s="504"/>
      <c r="H29" s="310"/>
      <c r="I29" s="505"/>
      <c r="J29" s="506"/>
    </row>
    <row r="30" spans="2:11" x14ac:dyDescent="0.2">
      <c r="B30" s="150" t="s">
        <v>1028</v>
      </c>
      <c r="C30" s="229">
        <v>15000</v>
      </c>
      <c r="D30" s="229">
        <v>15000</v>
      </c>
      <c r="E30" s="42">
        <v>15000</v>
      </c>
      <c r="G30" s="507">
        <f>'Budget Hearing Notice'!E31</f>
        <v>1.411</v>
      </c>
      <c r="H30" s="310" t="str">
        <f>CONCATENATE("",E1-1," Fund Mill Rate")</f>
        <v>2023 Fund Mill Rate</v>
      </c>
      <c r="I30" s="505"/>
      <c r="J30" s="506"/>
    </row>
    <row r="31" spans="2:11" x14ac:dyDescent="0.2">
      <c r="B31" s="143" t="str">
        <f>CONCATENATE("Cash Forward (",E1," column)")</f>
        <v>Cash Forward (2024 column)</v>
      </c>
      <c r="C31" s="229"/>
      <c r="D31" s="229"/>
      <c r="E31" s="42"/>
      <c r="G31" s="508">
        <f>'Budget Hearing Notice'!H62</f>
        <v>36.917000000000002</v>
      </c>
      <c r="H31" s="509" t="s">
        <v>544</v>
      </c>
      <c r="I31" s="505"/>
      <c r="J31" s="506"/>
    </row>
    <row r="32" spans="2:11" x14ac:dyDescent="0.2">
      <c r="B32" s="143" t="s">
        <v>38</v>
      </c>
      <c r="C32" s="229"/>
      <c r="D32" s="229"/>
      <c r="E32" s="42"/>
      <c r="G32" s="504">
        <f>'Budget Hearing Notice'!H61</f>
        <v>36.917000000000002</v>
      </c>
      <c r="H32" s="310" t="str">
        <f>CONCATENATE(E1," Estimated Total Mill Rate")</f>
        <v>2024 Estimated Total Mill Rate</v>
      </c>
      <c r="I32" s="505"/>
      <c r="J32" s="506"/>
    </row>
    <row r="33" spans="2:10" x14ac:dyDescent="0.2">
      <c r="B33" s="143" t="s">
        <v>277</v>
      </c>
      <c r="C33" s="230" t="str">
        <f>IF(C34*0.1&lt;C32,"Exceed 10% Rule","")</f>
        <v/>
      </c>
      <c r="D33" s="230" t="str">
        <f>IF(D34*0.1&lt;D32,"Exceed 10% Rule","")</f>
        <v/>
      </c>
      <c r="E33" s="170" t="str">
        <f>IF(E34*0.1&lt;E32,"Exceed 10% Rule","")</f>
        <v/>
      </c>
      <c r="G33" s="510">
        <f>'Budget Hearing Notice'!E61</f>
        <v>36.946999999999996</v>
      </c>
      <c r="H33" s="310" t="str">
        <f>CONCATENATE(E1-1," Total Mill Rate")</f>
        <v>2023 Total Mill Rate</v>
      </c>
      <c r="I33" s="505"/>
      <c r="J33" s="506"/>
    </row>
    <row r="34" spans="2:10" x14ac:dyDescent="0.2">
      <c r="B34" s="145" t="s">
        <v>93</v>
      </c>
      <c r="C34" s="457">
        <f>SUM(C25:C32)</f>
        <v>553485</v>
      </c>
      <c r="D34" s="457">
        <f>SUM(D25:D32)</f>
        <v>705000</v>
      </c>
      <c r="E34" s="457">
        <f>SUM(E25:E32)</f>
        <v>718000</v>
      </c>
      <c r="G34" s="321"/>
      <c r="H34" s="293"/>
      <c r="I34" s="293"/>
      <c r="J34" s="323"/>
    </row>
    <row r="35" spans="2:10" x14ac:dyDescent="0.2">
      <c r="B35" s="60" t="s">
        <v>183</v>
      </c>
      <c r="C35" s="106">
        <f>C23-C34</f>
        <v>567860</v>
      </c>
      <c r="D35" s="106">
        <f>D23-D34</f>
        <v>121336</v>
      </c>
      <c r="E35" s="165" t="s">
        <v>66</v>
      </c>
      <c r="G35" s="639" t="s">
        <v>545</v>
      </c>
      <c r="H35" s="640"/>
      <c r="I35" s="640"/>
      <c r="J35" s="643" t="str">
        <f>IF(G32&gt;G31, "Yes", "No")</f>
        <v>No</v>
      </c>
    </row>
    <row r="36" spans="2:10" x14ac:dyDescent="0.2">
      <c r="B36" s="135" t="str">
        <f>CONCATENATE("",E1-2,"/",E1-1,"/",E1," Budget Authority Amount:")</f>
        <v>2022/2023/2024 Budget Authority Amount:</v>
      </c>
      <c r="C36" s="167">
        <f>inputOth!B50</f>
        <v>870000</v>
      </c>
      <c r="D36" s="167">
        <f>inputPrYr!D32</f>
        <v>715000</v>
      </c>
      <c r="E36" s="106">
        <f>E34</f>
        <v>718000</v>
      </c>
      <c r="G36" s="641"/>
      <c r="H36" s="642"/>
      <c r="I36" s="642"/>
      <c r="J36" s="644"/>
    </row>
    <row r="37" spans="2:10" x14ac:dyDescent="0.2">
      <c r="B37" s="125"/>
      <c r="C37" s="647" t="s">
        <v>281</v>
      </c>
      <c r="D37" s="648"/>
      <c r="E37" s="42"/>
      <c r="G37" s="645" t="str">
        <f>IF(J35="Yes", "Follow procedure prescribed by KSA 79-2988 to exceed the Revenue Neutral Rate.", " ")</f>
        <v xml:space="preserve"> </v>
      </c>
      <c r="H37" s="645"/>
      <c r="I37" s="645"/>
      <c r="J37" s="645"/>
    </row>
    <row r="38" spans="2:10" x14ac:dyDescent="0.2">
      <c r="B38" s="263" t="str">
        <f>CONCATENATE(C97,"     ",D97)</f>
        <v xml:space="preserve">     </v>
      </c>
      <c r="C38" s="649" t="s">
        <v>282</v>
      </c>
      <c r="D38" s="650"/>
      <c r="E38" s="106">
        <f>E34+E37</f>
        <v>718000</v>
      </c>
      <c r="F38" s="151"/>
      <c r="G38" s="646"/>
      <c r="H38" s="646"/>
      <c r="I38" s="646"/>
      <c r="J38" s="646"/>
    </row>
    <row r="39" spans="2:10" x14ac:dyDescent="0.2">
      <c r="B39" s="263" t="str">
        <f>CONCATENATE(C98,"     ",D98)</f>
        <v xml:space="preserve">     </v>
      </c>
      <c r="C39" s="152"/>
      <c r="D39" s="90" t="s">
        <v>94</v>
      </c>
      <c r="E39" s="106">
        <f>IF(E38-E23&gt;0,E38-E23,0)</f>
        <v>586509</v>
      </c>
      <c r="F39" s="238" t="str">
        <f>IF(E34/0.95-E34&lt;E37,"Exceeds 5%","")</f>
        <v/>
      </c>
      <c r="G39" s="646"/>
      <c r="H39" s="646"/>
      <c r="I39" s="646"/>
      <c r="J39" s="646"/>
    </row>
    <row r="40" spans="2:10" x14ac:dyDescent="0.25">
      <c r="B40" s="90"/>
      <c r="C40" s="262" t="s">
        <v>283</v>
      </c>
      <c r="D40" s="291">
        <f>inputOth!$E$28</f>
        <v>5.4000000000000003E-3</v>
      </c>
      <c r="E40" s="106">
        <f>ROUND(IF(D40&gt;0,($E$39*D40),0),0)</f>
        <v>3167</v>
      </c>
      <c r="G40" s="1"/>
      <c r="H40" s="1"/>
      <c r="I40" s="1"/>
      <c r="J40" s="1"/>
    </row>
    <row r="41" spans="2:10" x14ac:dyDescent="0.25">
      <c r="B41" s="26"/>
      <c r="C41" s="631" t="str">
        <f>CONCATENATE("Amount of  ",$E$1-1," Ad Valorem Tax")</f>
        <v>Amount of  2023 Ad Valorem Tax</v>
      </c>
      <c r="D41" s="651"/>
      <c r="E41" s="106">
        <f>E39+E40</f>
        <v>589676</v>
      </c>
      <c r="G41" s="1"/>
      <c r="H41" s="1"/>
      <c r="I41" s="1"/>
      <c r="J41" s="1"/>
    </row>
    <row r="42" spans="2:10" x14ac:dyDescent="0.25">
      <c r="B42" s="26"/>
      <c r="C42" s="155"/>
      <c r="D42" s="155"/>
      <c r="E42" s="155"/>
      <c r="G42" s="1"/>
      <c r="H42" s="1"/>
      <c r="I42" s="1"/>
      <c r="J42" s="1"/>
    </row>
    <row r="43" spans="2:10" x14ac:dyDescent="0.25">
      <c r="B43" s="25" t="s">
        <v>80</v>
      </c>
      <c r="C43" s="333" t="str">
        <f t="shared" ref="C43:E44" si="0">C4</f>
        <v xml:space="preserve">Prior Year </v>
      </c>
      <c r="D43" s="334" t="str">
        <f t="shared" si="0"/>
        <v xml:space="preserve">Current Year </v>
      </c>
      <c r="E43" s="80" t="str">
        <f t="shared" si="0"/>
        <v xml:space="preserve">Proposed Budget </v>
      </c>
      <c r="G43" s="1"/>
      <c r="H43" s="1"/>
      <c r="I43" s="1"/>
      <c r="J43" s="1"/>
    </row>
    <row r="44" spans="2:10" x14ac:dyDescent="0.25">
      <c r="B44" s="246" t="str">
        <f>inputPrYr!B33</f>
        <v>Bond &amp; Interest</v>
      </c>
      <c r="C44" s="231" t="str">
        <f t="shared" si="0"/>
        <v>Actual for 2022</v>
      </c>
      <c r="D44" s="231" t="str">
        <f t="shared" si="0"/>
        <v>Estimate for 2023</v>
      </c>
      <c r="E44" s="136" t="str">
        <f t="shared" si="0"/>
        <v>Year for 2024</v>
      </c>
      <c r="G44" s="1"/>
      <c r="H44" s="1"/>
      <c r="I44" s="1"/>
      <c r="J44" s="1"/>
    </row>
    <row r="45" spans="2:10" x14ac:dyDescent="0.25">
      <c r="B45" s="60" t="s">
        <v>182</v>
      </c>
      <c r="C45" s="229">
        <v>36478</v>
      </c>
      <c r="D45" s="232">
        <f>C75</f>
        <v>36680</v>
      </c>
      <c r="E45" s="106">
        <f>D75</f>
        <v>36857</v>
      </c>
      <c r="G45" s="1"/>
      <c r="H45" s="1"/>
      <c r="I45" s="1"/>
      <c r="J45" s="1"/>
    </row>
    <row r="46" spans="2:10" x14ac:dyDescent="0.25">
      <c r="B46" s="137" t="s">
        <v>184</v>
      </c>
      <c r="C46" s="139"/>
      <c r="D46" s="139"/>
      <c r="E46" s="50"/>
      <c r="G46" s="1"/>
      <c r="H46" s="1"/>
      <c r="I46" s="1"/>
      <c r="J46" s="1"/>
    </row>
    <row r="47" spans="2:10" x14ac:dyDescent="0.25">
      <c r="B47" s="60" t="s">
        <v>81</v>
      </c>
      <c r="C47" s="229"/>
      <c r="D47" s="232">
        <f>IF(inputPrYr!H33&gt;0,inputPrYr!H33,inputPrYr!E33)</f>
        <v>0</v>
      </c>
      <c r="E47" s="165" t="s">
        <v>66</v>
      </c>
      <c r="G47" s="1"/>
      <c r="H47" s="1"/>
      <c r="I47" s="1"/>
      <c r="J47" s="1"/>
    </row>
    <row r="48" spans="2:10" x14ac:dyDescent="0.25">
      <c r="B48" s="60" t="s">
        <v>82</v>
      </c>
      <c r="C48" s="229">
        <v>202</v>
      </c>
      <c r="D48" s="229">
        <v>177</v>
      </c>
      <c r="E48" s="42"/>
      <c r="G48" s="1"/>
      <c r="H48" s="1"/>
      <c r="I48" s="1"/>
      <c r="J48" s="1"/>
    </row>
    <row r="49" spans="2:11" x14ac:dyDescent="0.25">
      <c r="B49" s="60" t="s">
        <v>83</v>
      </c>
      <c r="C49" s="229"/>
      <c r="D49" s="229"/>
      <c r="E49" s="106" t="str">
        <f>Mvalloc!D23</f>
        <v xml:space="preserve">  </v>
      </c>
      <c r="G49" s="1"/>
      <c r="H49" s="1"/>
      <c r="I49" s="1"/>
      <c r="J49" s="1"/>
    </row>
    <row r="50" spans="2:11" x14ac:dyDescent="0.2">
      <c r="B50" s="60" t="s">
        <v>84</v>
      </c>
      <c r="C50" s="229"/>
      <c r="D50" s="229"/>
      <c r="E50" s="106" t="str">
        <f>Mvalloc!E23</f>
        <v xml:space="preserve">  </v>
      </c>
      <c r="G50" s="652" t="str">
        <f>CONCATENATE("Desired Carryover Into ",E1+1,"")</f>
        <v>Desired Carryover Into 2025</v>
      </c>
      <c r="H50" s="653"/>
      <c r="I50" s="653"/>
      <c r="J50" s="654"/>
    </row>
    <row r="51" spans="2:11" x14ac:dyDescent="0.2">
      <c r="B51" s="139" t="s">
        <v>163</v>
      </c>
      <c r="C51" s="229"/>
      <c r="D51" s="229"/>
      <c r="E51" s="106" t="str">
        <f>Mvalloc!F23</f>
        <v xml:space="preserve">  </v>
      </c>
      <c r="G51" s="292"/>
      <c r="H51" s="293"/>
      <c r="I51" s="294"/>
      <c r="J51" s="295"/>
    </row>
    <row r="52" spans="2:11" x14ac:dyDescent="0.2">
      <c r="B52" s="137" t="s">
        <v>335</v>
      </c>
      <c r="C52" s="229"/>
      <c r="D52" s="229"/>
      <c r="E52" s="106" t="str">
        <f>Mvalloc!G23</f>
        <v xml:space="preserve">  </v>
      </c>
      <c r="G52" s="296" t="s">
        <v>284</v>
      </c>
      <c r="H52" s="294"/>
      <c r="I52" s="294"/>
      <c r="J52" s="297">
        <v>0</v>
      </c>
    </row>
    <row r="53" spans="2:11" x14ac:dyDescent="0.2">
      <c r="B53" s="137" t="s">
        <v>336</v>
      </c>
      <c r="C53" s="229"/>
      <c r="D53" s="229"/>
      <c r="E53" s="106" t="str">
        <f>Mvalloc!H23</f>
        <v xml:space="preserve">  </v>
      </c>
      <c r="G53" s="292" t="s">
        <v>285</v>
      </c>
      <c r="H53" s="293"/>
      <c r="I53" s="293"/>
      <c r="J53" s="298" t="str">
        <f>IF(J52=0,"",ROUND((J52+E81-G65)/inputOth!E6*1000,3)-G70)</f>
        <v/>
      </c>
    </row>
    <row r="54" spans="2:11" x14ac:dyDescent="0.2">
      <c r="B54" s="150"/>
      <c r="C54" s="229"/>
      <c r="D54" s="229"/>
      <c r="E54" s="42"/>
      <c r="G54" s="299" t="str">
        <f>CONCATENATE("",E1," Tot Exp/Non-Appr Must Be:")</f>
        <v>2024 Tot Exp/Non-Appr Must Be:</v>
      </c>
      <c r="H54" s="300"/>
      <c r="I54" s="301"/>
      <c r="J54" s="302">
        <f>IF(J52&gt;0,IF(E78&lt;E64,IF(J52=G65,E78,((J52-G65)*(1-D80))+E64),E78+(J52-G65)),0)</f>
        <v>0</v>
      </c>
    </row>
    <row r="55" spans="2:11" x14ac:dyDescent="0.2">
      <c r="B55" s="150"/>
      <c r="C55" s="229"/>
      <c r="D55" s="229"/>
      <c r="E55" s="42"/>
      <c r="G55" s="303" t="s">
        <v>305</v>
      </c>
      <c r="H55" s="304"/>
      <c r="I55" s="304"/>
      <c r="J55" s="305">
        <f>IF(J52&gt;0,J54-E78,0)</f>
        <v>0</v>
      </c>
    </row>
    <row r="56" spans="2:11" x14ac:dyDescent="0.25">
      <c r="B56" s="150"/>
      <c r="C56" s="229"/>
      <c r="D56" s="229"/>
      <c r="E56" s="42"/>
      <c r="G56" s="1"/>
      <c r="H56" s="1"/>
      <c r="I56" s="1"/>
      <c r="J56" s="1"/>
    </row>
    <row r="57" spans="2:11" x14ac:dyDescent="0.2">
      <c r="B57" s="150"/>
      <c r="C57" s="229"/>
      <c r="D57" s="229"/>
      <c r="E57" s="42"/>
      <c r="G57" s="652" t="str">
        <f>CONCATENATE("Projected Carryover Into ",E1+1,"")</f>
        <v>Projected Carryover Into 2025</v>
      </c>
      <c r="H57" s="660"/>
      <c r="I57" s="660"/>
      <c r="J57" s="659"/>
    </row>
    <row r="58" spans="2:11" x14ac:dyDescent="0.25">
      <c r="B58" s="150"/>
      <c r="C58" s="229"/>
      <c r="D58" s="229"/>
      <c r="E58" s="42"/>
      <c r="G58" s="321"/>
      <c r="H58" s="293"/>
      <c r="I58" s="293"/>
      <c r="J58" s="316"/>
    </row>
    <row r="59" spans="2:11" x14ac:dyDescent="0.25">
      <c r="B59" s="142" t="s">
        <v>87</v>
      </c>
      <c r="C59" s="229"/>
      <c r="D59" s="229"/>
      <c r="E59" s="42"/>
      <c r="G59" s="312">
        <f>D75</f>
        <v>36857</v>
      </c>
      <c r="H59" s="310" t="str">
        <f>CONCATENATE("",E1-1," Ending Cash Balance (est.)")</f>
        <v>2023 Ending Cash Balance (est.)</v>
      </c>
      <c r="I59" s="313"/>
      <c r="J59" s="316"/>
    </row>
    <row r="60" spans="2:11" x14ac:dyDescent="0.25">
      <c r="B60" s="143" t="s">
        <v>40</v>
      </c>
      <c r="C60" s="229"/>
      <c r="D60" s="229"/>
      <c r="E60" s="106">
        <f>'NR Rebate'!E22*-1</f>
        <v>0</v>
      </c>
      <c r="G60" s="312">
        <f>E63</f>
        <v>0</v>
      </c>
      <c r="H60" s="294" t="str">
        <f>CONCATENATE("",E1," Non-AV Receipts (est.)")</f>
        <v>2024 Non-AV Receipts (est.)</v>
      </c>
      <c r="I60" s="313"/>
      <c r="J60" s="316"/>
    </row>
    <row r="61" spans="2:11" x14ac:dyDescent="0.25">
      <c r="B61" s="143" t="s">
        <v>38</v>
      </c>
      <c r="C61" s="229"/>
      <c r="D61" s="229"/>
      <c r="E61" s="42"/>
      <c r="G61" s="314">
        <f>IF(E80&gt;0,E79,E81)</f>
        <v>0</v>
      </c>
      <c r="H61" s="294" t="str">
        <f>CONCATENATE("",E1," Ad Valorem Tax (est.)")</f>
        <v>2024 Ad Valorem Tax (est.)</v>
      </c>
      <c r="I61" s="313"/>
      <c r="J61" s="316"/>
      <c r="K61" s="308" t="str">
        <f>IF(G61=E81,"","Note: Does not include Delinquent Taxes")</f>
        <v/>
      </c>
    </row>
    <row r="62" spans="2:11" x14ac:dyDescent="0.25">
      <c r="B62" s="143" t="s">
        <v>278</v>
      </c>
      <c r="C62" s="230" t="str">
        <f>IF(C63*0.1&lt;C61,"Exceed 10% Rule","")</f>
        <v/>
      </c>
      <c r="D62" s="230" t="str">
        <f>IF(D63*0.1&lt;D61,"Exceed 10% Rule","")</f>
        <v/>
      </c>
      <c r="E62" s="170" t="str">
        <f>IF(E63*0.1+E81&lt;E61,"Exceed 10% Rule","")</f>
        <v/>
      </c>
      <c r="G62" s="322">
        <f>SUM(G59:G61)</f>
        <v>36857</v>
      </c>
      <c r="H62" s="294" t="str">
        <f>CONCATENATE("Total ",E1," Resources Available")</f>
        <v>Total 2024 Resources Available</v>
      </c>
      <c r="I62" s="323"/>
      <c r="J62" s="316"/>
    </row>
    <row r="63" spans="2:11" x14ac:dyDescent="0.25">
      <c r="B63" s="145" t="s">
        <v>88</v>
      </c>
      <c r="C63" s="457">
        <f>SUM(C47:C61)</f>
        <v>202</v>
      </c>
      <c r="D63" s="457">
        <f>SUM(D47:D61)</f>
        <v>177</v>
      </c>
      <c r="E63" s="457">
        <f>SUM(E47:E61)</f>
        <v>0</v>
      </c>
      <c r="G63" s="324"/>
      <c r="H63" s="325"/>
      <c r="I63" s="293"/>
      <c r="J63" s="316"/>
    </row>
    <row r="64" spans="2:11" x14ac:dyDescent="0.25">
      <c r="B64" s="145" t="s">
        <v>89</v>
      </c>
      <c r="C64" s="457">
        <f>C45+C63</f>
        <v>36680</v>
      </c>
      <c r="D64" s="457">
        <f>D45+D63</f>
        <v>36857</v>
      </c>
      <c r="E64" s="457">
        <f>E45+E63</f>
        <v>36857</v>
      </c>
      <c r="G64" s="326">
        <f>ROUND(C74*0.05+C74,0)</f>
        <v>0</v>
      </c>
      <c r="H64" s="294" t="str">
        <f>CONCATENATE("Less ",E1-2," Expenditures + 5%")</f>
        <v>Less 2022 Expenditures + 5%</v>
      </c>
      <c r="I64" s="323"/>
      <c r="J64" s="316"/>
    </row>
    <row r="65" spans="2:10" x14ac:dyDescent="0.25">
      <c r="B65" s="60" t="s">
        <v>92</v>
      </c>
      <c r="C65" s="143"/>
      <c r="D65" s="143"/>
      <c r="E65" s="38"/>
      <c r="G65" s="327">
        <f>G62-G64</f>
        <v>36857</v>
      </c>
      <c r="H65" s="318" t="str">
        <f>CONCATENATE("Projected ",E1+1," carryover (est.)")</f>
        <v>Projected 2025 carryover (est.)</v>
      </c>
      <c r="I65" s="328"/>
      <c r="J65" s="329"/>
    </row>
    <row r="66" spans="2:10" x14ac:dyDescent="0.25">
      <c r="B66" s="150" t="s">
        <v>1030</v>
      </c>
      <c r="C66" s="229"/>
      <c r="D66" s="229"/>
      <c r="E66" s="42">
        <v>36857</v>
      </c>
      <c r="G66" s="1"/>
      <c r="H66" s="1"/>
      <c r="I66" s="1"/>
      <c r="J66" s="1"/>
    </row>
    <row r="67" spans="2:10" x14ac:dyDescent="0.2">
      <c r="B67" s="150"/>
      <c r="C67" s="229"/>
      <c r="D67" s="229"/>
      <c r="E67" s="42"/>
      <c r="G67" s="633" t="s">
        <v>543</v>
      </c>
      <c r="H67" s="634"/>
      <c r="I67" s="634"/>
      <c r="J67" s="635"/>
    </row>
    <row r="68" spans="2:10" x14ac:dyDescent="0.2">
      <c r="B68" s="150"/>
      <c r="C68" s="229"/>
      <c r="D68" s="229"/>
      <c r="E68" s="42"/>
      <c r="G68" s="636"/>
      <c r="H68" s="637"/>
      <c r="I68" s="637"/>
      <c r="J68" s="638"/>
    </row>
    <row r="69" spans="2:10" x14ac:dyDescent="0.2">
      <c r="B69" s="150"/>
      <c r="C69" s="229"/>
      <c r="D69" s="229"/>
      <c r="E69" s="42"/>
      <c r="G69" s="504" t="str">
        <f>'Budget Hearing Notice'!H32</f>
        <v xml:space="preserve">  </v>
      </c>
      <c r="H69" s="310" t="str">
        <f>CONCATENATE("",E1," Estimated Fund Mill Rate")</f>
        <v>2024 Estimated Fund Mill Rate</v>
      </c>
      <c r="I69" s="505"/>
      <c r="J69" s="506"/>
    </row>
    <row r="70" spans="2:10" x14ac:dyDescent="0.2">
      <c r="B70" s="150"/>
      <c r="C70" s="229"/>
      <c r="D70" s="229"/>
      <c r="E70" s="42"/>
      <c r="G70" s="507" t="str">
        <f>'Budget Hearing Notice'!E32</f>
        <v xml:space="preserve">  </v>
      </c>
      <c r="H70" s="310" t="str">
        <f>CONCATENATE("",E1-1," Fund Mill Rate")</f>
        <v>2023 Fund Mill Rate</v>
      </c>
      <c r="I70" s="505"/>
      <c r="J70" s="506"/>
    </row>
    <row r="71" spans="2:10" x14ac:dyDescent="0.2">
      <c r="B71" s="143" t="str">
        <f>CONCATENATE("Cash Forward (",E1," column)")</f>
        <v>Cash Forward (2024 column)</v>
      </c>
      <c r="C71" s="229"/>
      <c r="D71" s="229"/>
      <c r="E71" s="42"/>
      <c r="G71" s="508">
        <f>'Budget Hearing Notice'!H62</f>
        <v>36.917000000000002</v>
      </c>
      <c r="H71" s="509" t="s">
        <v>544</v>
      </c>
      <c r="I71" s="505"/>
      <c r="J71" s="506"/>
    </row>
    <row r="72" spans="2:10" x14ac:dyDescent="0.2">
      <c r="B72" s="143" t="s">
        <v>38</v>
      </c>
      <c r="C72" s="229"/>
      <c r="D72" s="229"/>
      <c r="E72" s="42"/>
      <c r="G72" s="504">
        <f>'Budget Hearing Notice'!H61</f>
        <v>36.917000000000002</v>
      </c>
      <c r="H72" s="310" t="str">
        <f>CONCATENATE(E1," Estimated Total Mill Rate")</f>
        <v>2024 Estimated Total Mill Rate</v>
      </c>
      <c r="I72" s="505"/>
      <c r="J72" s="506"/>
    </row>
    <row r="73" spans="2:10" x14ac:dyDescent="0.2">
      <c r="B73" s="143" t="s">
        <v>277</v>
      </c>
      <c r="C73" s="230" t="str">
        <f>IF(C74*0.1&lt;C72,"Exceed 10% Rule","")</f>
        <v/>
      </c>
      <c r="D73" s="230" t="str">
        <f>IF(D74*0.1&lt;D72,"Exceed 10% Rule","")</f>
        <v/>
      </c>
      <c r="E73" s="170" t="str">
        <f>IF(E74*0.1&lt;E72,"Exceed 10% Rule","")</f>
        <v/>
      </c>
      <c r="G73" s="510">
        <f>'Budget Hearing Notice'!E61</f>
        <v>36.946999999999996</v>
      </c>
      <c r="H73" s="310" t="str">
        <f>CONCATENATE(E1-1," Total Mill Rate")</f>
        <v>2023 Total Mill Rate</v>
      </c>
      <c r="I73" s="505"/>
      <c r="J73" s="506"/>
    </row>
    <row r="74" spans="2:10" x14ac:dyDescent="0.2">
      <c r="B74" s="145" t="s">
        <v>93</v>
      </c>
      <c r="C74" s="457">
        <f>SUM(C66:C72)</f>
        <v>0</v>
      </c>
      <c r="D74" s="457">
        <f>SUM(D66:D72)</f>
        <v>0</v>
      </c>
      <c r="E74" s="457">
        <f>SUM(E66:E72)</f>
        <v>36857</v>
      </c>
      <c r="G74" s="321"/>
      <c r="H74" s="293"/>
      <c r="I74" s="293"/>
      <c r="J74" s="323"/>
    </row>
    <row r="75" spans="2:10" x14ac:dyDescent="0.2">
      <c r="B75" s="60" t="s">
        <v>183</v>
      </c>
      <c r="C75" s="106">
        <f>C64-C74</f>
        <v>36680</v>
      </c>
      <c r="D75" s="106">
        <f>D64-D74</f>
        <v>36857</v>
      </c>
      <c r="E75" s="165" t="s">
        <v>66</v>
      </c>
      <c r="G75" s="639" t="s">
        <v>545</v>
      </c>
      <c r="H75" s="640"/>
      <c r="I75" s="640"/>
      <c r="J75" s="643" t="str">
        <f>IF(G72&gt;G71, "Yes", "No")</f>
        <v>No</v>
      </c>
    </row>
    <row r="76" spans="2:10" x14ac:dyDescent="0.2">
      <c r="B76" s="135" t="str">
        <f>CONCATENATE("",E1-2,"/",E1-1,"/",E1," Budget Authority Amount:")</f>
        <v>2022/2023/2024 Budget Authority Amount:</v>
      </c>
      <c r="C76" s="167">
        <f>inputOth!B51</f>
        <v>36182</v>
      </c>
      <c r="D76" s="167">
        <f>inputPrYr!D33</f>
        <v>36680</v>
      </c>
      <c r="E76" s="106">
        <f>E74</f>
        <v>36857</v>
      </c>
      <c r="G76" s="641"/>
      <c r="H76" s="642"/>
      <c r="I76" s="642"/>
      <c r="J76" s="644"/>
    </row>
    <row r="77" spans="2:10" x14ac:dyDescent="0.2">
      <c r="B77" s="125"/>
      <c r="C77" s="647" t="s">
        <v>281</v>
      </c>
      <c r="D77" s="648"/>
      <c r="E77" s="42"/>
      <c r="G77" s="645" t="str">
        <f>IF(J75="Yes", "Follow procedure prescribed by KSA 79-2988 to exceed the Revenue Neutral Rate.", " ")</f>
        <v xml:space="preserve"> </v>
      </c>
      <c r="H77" s="645"/>
      <c r="I77" s="645"/>
      <c r="J77" s="645"/>
    </row>
    <row r="78" spans="2:10" x14ac:dyDescent="0.2">
      <c r="B78" s="263" t="str">
        <f>CONCATENATE(C99,"     ",D99)</f>
        <v xml:space="preserve">     </v>
      </c>
      <c r="C78" s="649" t="s">
        <v>282</v>
      </c>
      <c r="D78" s="650"/>
      <c r="E78" s="106">
        <f>E74+E77</f>
        <v>36857</v>
      </c>
      <c r="G78" s="646"/>
      <c r="H78" s="646"/>
      <c r="I78" s="646"/>
      <c r="J78" s="646"/>
    </row>
    <row r="79" spans="2:10" x14ac:dyDescent="0.2">
      <c r="B79" s="263" t="str">
        <f>CONCATENATE(C100,"     ",D100)</f>
        <v xml:space="preserve">     </v>
      </c>
      <c r="C79" s="152"/>
      <c r="D79" s="90" t="s">
        <v>94</v>
      </c>
      <c r="E79" s="106">
        <f>IF(E78-E64&gt;0,E78-E64,0)</f>
        <v>0</v>
      </c>
      <c r="G79" s="646"/>
      <c r="H79" s="646"/>
      <c r="I79" s="646"/>
      <c r="J79" s="646"/>
    </row>
    <row r="80" spans="2:10" x14ac:dyDescent="0.2">
      <c r="B80" s="90"/>
      <c r="C80" s="262" t="s">
        <v>283</v>
      </c>
      <c r="D80" s="291">
        <f>inputOth!$E$28</f>
        <v>5.4000000000000003E-3</v>
      </c>
      <c r="E80" s="106">
        <f>ROUND(IF(D80&gt;0,($E$79*D80),0),0)</f>
        <v>0</v>
      </c>
      <c r="F80" s="151"/>
    </row>
    <row r="81" spans="2:6" x14ac:dyDescent="0.2">
      <c r="B81" s="26"/>
      <c r="C81" s="631" t="str">
        <f>CONCATENATE("Amount of  ",$E$1-1," Ad Valorem Tax")</f>
        <v>Amount of  2023 Ad Valorem Tax</v>
      </c>
      <c r="D81" s="651"/>
      <c r="E81" s="106">
        <f>E79+E80</f>
        <v>0</v>
      </c>
      <c r="F81" s="238" t="str">
        <f>IF(E74/0.95-E74&lt;E77,"Exceeds 5%","")</f>
        <v/>
      </c>
    </row>
    <row r="82" spans="2:6" x14ac:dyDescent="0.2">
      <c r="B82" s="26"/>
      <c r="C82" s="125"/>
      <c r="D82" s="26"/>
      <c r="E82" s="125"/>
    </row>
    <row r="83" spans="2:6" x14ac:dyDescent="0.2">
      <c r="B83" s="417" t="s">
        <v>341</v>
      </c>
      <c r="C83" s="396"/>
      <c r="D83" s="341"/>
      <c r="E83" s="403"/>
    </row>
    <row r="84" spans="2:6" x14ac:dyDescent="0.2">
      <c r="B84" s="126"/>
      <c r="C84" s="125"/>
      <c r="D84" s="26"/>
      <c r="E84" s="404"/>
    </row>
    <row r="85" spans="2:6" x14ac:dyDescent="0.2">
      <c r="B85" s="397"/>
      <c r="C85" s="402"/>
      <c r="D85" s="44"/>
      <c r="E85" s="405"/>
    </row>
    <row r="86" spans="2:6" x14ac:dyDescent="0.2">
      <c r="B86" s="26"/>
      <c r="C86" s="125"/>
      <c r="D86" s="26"/>
      <c r="E86" s="125"/>
    </row>
    <row r="87" spans="2:6" x14ac:dyDescent="0.2">
      <c r="B87" s="125" t="s">
        <v>133</v>
      </c>
      <c r="C87" s="362">
        <v>14</v>
      </c>
      <c r="D87" s="26"/>
      <c r="E87" s="26"/>
    </row>
    <row r="96" spans="2:6" hidden="1" x14ac:dyDescent="0.2"/>
    <row r="97" spans="3:4" hidden="1" x14ac:dyDescent="0.2">
      <c r="C97" s="23" t="str">
        <f>IF(C34&gt;C36,"See Tab A","")</f>
        <v/>
      </c>
      <c r="D97" s="23" t="str">
        <f>IF(D34&gt;D36,"See Tab C","")</f>
        <v/>
      </c>
    </row>
    <row r="98" spans="3:4" hidden="1" x14ac:dyDescent="0.2">
      <c r="C98" s="23" t="str">
        <f>IF(C35&lt;0,"See Tab B","")</f>
        <v/>
      </c>
      <c r="D98" s="23" t="str">
        <f>IF(D35&lt;0,"See Tab D","")</f>
        <v/>
      </c>
    </row>
    <row r="99" spans="3:4" hidden="1" x14ac:dyDescent="0.2">
      <c r="C99" s="23" t="str">
        <f>IF(C74&gt;C76,"See Tab A","")</f>
        <v/>
      </c>
      <c r="D99" s="23" t="str">
        <f>IF(D74&gt;D76,"See Tab C","")</f>
        <v/>
      </c>
    </row>
    <row r="100" spans="3:4" x14ac:dyDescent="0.2">
      <c r="C100" s="23" t="str">
        <f>IF(C75&lt;0,"See Tab B","")</f>
        <v/>
      </c>
      <c r="D100" s="23" t="str">
        <f>IF(D75&lt;0,"See Tab D","")</f>
        <v/>
      </c>
    </row>
  </sheetData>
  <mergeCells count="18">
    <mergeCell ref="G9:J9"/>
    <mergeCell ref="G16:J16"/>
    <mergeCell ref="G50:J50"/>
    <mergeCell ref="G57:J57"/>
    <mergeCell ref="C81:D81"/>
    <mergeCell ref="C41:D41"/>
    <mergeCell ref="G26:J27"/>
    <mergeCell ref="G35:I36"/>
    <mergeCell ref="J35:J36"/>
    <mergeCell ref="G37:J39"/>
    <mergeCell ref="G67:J68"/>
    <mergeCell ref="G75:I76"/>
    <mergeCell ref="J75:J76"/>
    <mergeCell ref="G77:J79"/>
    <mergeCell ref="C37:D37"/>
    <mergeCell ref="C38:D38"/>
    <mergeCell ref="C77:D77"/>
    <mergeCell ref="C78:D78"/>
  </mergeCells>
  <phoneticPr fontId="0" type="noConversion"/>
  <conditionalFormatting sqref="E72">
    <cfRule type="cellIs" dxfId="220" priority="14" stopIfTrue="1" operator="greaterThan">
      <formula>$E$74*0.1</formula>
    </cfRule>
  </conditionalFormatting>
  <conditionalFormatting sqref="E77">
    <cfRule type="cellIs" dxfId="219" priority="15" stopIfTrue="1" operator="greaterThan">
      <formula>$E$74/0.95-$E$74</formula>
    </cfRule>
  </conditionalFormatting>
  <conditionalFormatting sqref="E37">
    <cfRule type="cellIs" dxfId="218" priority="16" stopIfTrue="1" operator="greaterThan">
      <formula>$E$34/0.95-$E$34</formula>
    </cfRule>
  </conditionalFormatting>
  <conditionalFormatting sqref="E32">
    <cfRule type="cellIs" dxfId="217" priority="17" stopIfTrue="1" operator="greaterThan">
      <formula>$E$34*0.1</formula>
    </cfRule>
  </conditionalFormatting>
  <conditionalFormatting sqref="C72">
    <cfRule type="cellIs" dxfId="216" priority="21" stopIfTrue="1" operator="greaterThan">
      <formula>$C$74*0.1</formula>
    </cfRule>
  </conditionalFormatting>
  <conditionalFormatting sqref="D72">
    <cfRule type="cellIs" dxfId="215" priority="22" stopIfTrue="1" operator="greaterThan">
      <formula>$D$74*0.1</formula>
    </cfRule>
  </conditionalFormatting>
  <conditionalFormatting sqref="E61">
    <cfRule type="cellIs" dxfId="214" priority="23" stopIfTrue="1" operator="greaterThan">
      <formula>$E$63*0.1+E81</formula>
    </cfRule>
  </conditionalFormatting>
  <conditionalFormatting sqref="C61">
    <cfRule type="cellIs" dxfId="213" priority="24" stopIfTrue="1" operator="greaterThan">
      <formula>$C$63*0.1</formula>
    </cfRule>
  </conditionalFormatting>
  <conditionalFormatting sqref="D61">
    <cfRule type="cellIs" dxfId="212" priority="25" stopIfTrue="1" operator="greaterThan">
      <formula>$D$63*0.1</formula>
    </cfRule>
  </conditionalFormatting>
  <conditionalFormatting sqref="C32">
    <cfRule type="cellIs" dxfId="211" priority="28" stopIfTrue="1" operator="greaterThan">
      <formula>$C$34*0.1</formula>
    </cfRule>
  </conditionalFormatting>
  <conditionalFormatting sqref="D32">
    <cfRule type="cellIs" dxfId="210" priority="29" stopIfTrue="1" operator="greaterThan">
      <formula>$D$34*0.1</formula>
    </cfRule>
  </conditionalFormatting>
  <conditionalFormatting sqref="E20">
    <cfRule type="cellIs" dxfId="209" priority="30" stopIfTrue="1" operator="greaterThan">
      <formula>$E$22*0.1+E41</formula>
    </cfRule>
  </conditionalFormatting>
  <conditionalFormatting sqref="C20">
    <cfRule type="cellIs" dxfId="208" priority="31" stopIfTrue="1" operator="greaterThan">
      <formula>$C$22*0.1</formula>
    </cfRule>
  </conditionalFormatting>
  <conditionalFormatting sqref="D20">
    <cfRule type="cellIs" dxfId="207" priority="32" stopIfTrue="1" operator="greaterThan">
      <formula>$D$22*0.1</formula>
    </cfRule>
  </conditionalFormatting>
  <conditionalFormatting sqref="J35">
    <cfRule type="containsText" dxfId="206" priority="11" operator="containsText" text="Yes">
      <formula>NOT(ISERROR(SEARCH("Yes",J35)))</formula>
    </cfRule>
  </conditionalFormatting>
  <conditionalFormatting sqref="J75">
    <cfRule type="containsText" dxfId="205" priority="10" operator="containsText" text="Yes">
      <formula>NOT(ISERROR(SEARCH("Yes",J75)))</formula>
    </cfRule>
  </conditionalFormatting>
  <conditionalFormatting sqref="C74">
    <cfRule type="cellIs" dxfId="204" priority="6" stopIfTrue="1" operator="greaterThan">
      <formula>$D$36</formula>
    </cfRule>
    <cfRule type="cellIs" dxfId="203" priority="9" stopIfTrue="1" operator="greaterThan">
      <formula>$C$76</formula>
    </cfRule>
  </conditionalFormatting>
  <conditionalFormatting sqref="D74">
    <cfRule type="cellIs" dxfId="202" priority="8" stopIfTrue="1" operator="greaterThan">
      <formula>$D$76</formula>
    </cfRule>
  </conditionalFormatting>
  <conditionalFormatting sqref="C34">
    <cfRule type="cellIs" dxfId="201" priority="7" stopIfTrue="1" operator="greaterThan">
      <formula>$C$36</formula>
    </cfRule>
  </conditionalFormatting>
  <conditionalFormatting sqref="D34">
    <cfRule type="cellIs" dxfId="200" priority="5" stopIfTrue="1" operator="greaterThan">
      <formula>$D$36</formula>
    </cfRule>
  </conditionalFormatting>
  <conditionalFormatting sqref="C35">
    <cfRule type="cellIs" dxfId="199" priority="1" stopIfTrue="1" operator="lessThan">
      <formula>0</formula>
    </cfRule>
  </conditionalFormatting>
  <conditionalFormatting sqref="D35">
    <cfRule type="cellIs" dxfId="198" priority="2" stopIfTrue="1" operator="lessThan">
      <formula>0</formula>
    </cfRule>
  </conditionalFormatting>
  <conditionalFormatting sqref="C75">
    <cfRule type="cellIs" dxfId="197" priority="3" stopIfTrue="1" operator="lessThan">
      <formula>0</formula>
    </cfRule>
  </conditionalFormatting>
  <conditionalFormatting sqref="D75">
    <cfRule type="cellIs" dxfId="196" priority="4" stopIfTrue="1" operator="lessThan">
      <formula>0</formula>
    </cfRule>
  </conditionalFormatting>
  <pageMargins left="1.1200000000000001" right="0.5" top="0.74" bottom="0.34" header="0.5" footer="0"/>
  <pageSetup scale="50" orientation="portrait" blackAndWhite="1" r:id="rId1"/>
  <headerFooter alignWithMargins="0">
    <oddHeader xml:space="preserve">&amp;RState of Kansas
County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B1:K99"/>
  <sheetViews>
    <sheetView zoomScaleNormal="100"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664062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inputPrYr!B36</f>
        <v>Capital Improvement</v>
      </c>
      <c r="C5" s="231" t="str">
        <f>CONCATENATE("Actual for ",E1-2,"")</f>
        <v>Actual for 2022</v>
      </c>
      <c r="D5" s="231" t="str">
        <f>CONCATENATE("Estimate for ",E1-1,"")</f>
        <v>Estimate for 2023</v>
      </c>
      <c r="E5" s="136" t="str">
        <f>CONCATENATE("Year for ",E1,"")</f>
        <v>Year for 2024</v>
      </c>
    </row>
    <row r="6" spans="2:10" x14ac:dyDescent="0.2">
      <c r="B6" s="60" t="s">
        <v>182</v>
      </c>
      <c r="C6" s="229">
        <v>218087</v>
      </c>
      <c r="D6" s="232">
        <f>C34</f>
        <v>206429</v>
      </c>
      <c r="E6" s="106">
        <f>D34</f>
        <v>186429</v>
      </c>
    </row>
    <row r="7" spans="2:10" x14ac:dyDescent="0.2">
      <c r="B7" s="128" t="s">
        <v>184</v>
      </c>
      <c r="C7" s="139"/>
      <c r="D7" s="139"/>
      <c r="E7" s="50"/>
    </row>
    <row r="8" spans="2:10" x14ac:dyDescent="0.2">
      <c r="B8" s="60" t="s">
        <v>81</v>
      </c>
      <c r="C8" s="229"/>
      <c r="D8" s="232"/>
      <c r="E8" s="165"/>
      <c r="G8" s="652" t="str">
        <f>CONCATENATE("Desired Carryover Into ",E1+1,"")</f>
        <v>Desired Carryover Into 2025</v>
      </c>
      <c r="H8" s="653"/>
      <c r="I8" s="653"/>
      <c r="J8" s="654"/>
    </row>
    <row r="9" spans="2:10" x14ac:dyDescent="0.2">
      <c r="B9" s="60" t="s">
        <v>82</v>
      </c>
      <c r="C9" s="229"/>
      <c r="D9" s="229"/>
      <c r="E9" s="42"/>
      <c r="G9" s="292"/>
      <c r="H9" s="293"/>
      <c r="I9" s="294"/>
      <c r="J9" s="295"/>
    </row>
    <row r="10" spans="2:10" x14ac:dyDescent="0.2">
      <c r="B10" s="60" t="s">
        <v>83</v>
      </c>
      <c r="C10" s="229"/>
      <c r="D10" s="229"/>
      <c r="E10" s="42"/>
      <c r="G10" s="296" t="s">
        <v>284</v>
      </c>
      <c r="H10" s="294"/>
      <c r="I10" s="294"/>
      <c r="J10" s="297">
        <v>0</v>
      </c>
    </row>
    <row r="11" spans="2:10" x14ac:dyDescent="0.2">
      <c r="B11" s="60" t="s">
        <v>84</v>
      </c>
      <c r="C11" s="229"/>
      <c r="D11" s="229"/>
      <c r="E11" s="42"/>
      <c r="G11" s="292" t="s">
        <v>285</v>
      </c>
      <c r="H11" s="293"/>
      <c r="I11" s="293"/>
      <c r="J11" s="298" t="str">
        <f>IF(J10=0,"",ROUND((J10+E40-G23)/inputOth!E6*1000,3)-G28)</f>
        <v/>
      </c>
    </row>
    <row r="12" spans="2:10" x14ac:dyDescent="0.2">
      <c r="B12" s="139" t="s">
        <v>163</v>
      </c>
      <c r="C12" s="229"/>
      <c r="D12" s="229"/>
      <c r="E12" s="42"/>
      <c r="G12" s="299" t="str">
        <f>CONCATENATE("",E1," Tot Exp/Non-Appr Must Be:")</f>
        <v>2024 Tot Exp/Non-Appr Must Be:</v>
      </c>
      <c r="H12" s="300"/>
      <c r="I12" s="301"/>
      <c r="J12" s="302">
        <f>IF(J10&gt;0,IF(E37&lt;E23,IF(J10=G23,E37,((J10-G23)*(1-D39))+E23),E37+(J10-G23)),0)</f>
        <v>0</v>
      </c>
    </row>
    <row r="13" spans="2:10" x14ac:dyDescent="0.2">
      <c r="B13" s="137" t="s">
        <v>335</v>
      </c>
      <c r="C13" s="229"/>
      <c r="D13" s="229"/>
      <c r="E13" s="42"/>
      <c r="G13" s="303" t="s">
        <v>305</v>
      </c>
      <c r="H13" s="304"/>
      <c r="I13" s="304"/>
      <c r="J13" s="305">
        <f>IF(J10&gt;0,J12-E37,0)</f>
        <v>0</v>
      </c>
    </row>
    <row r="14" spans="2:10" x14ac:dyDescent="0.25">
      <c r="B14" s="137" t="s">
        <v>336</v>
      </c>
      <c r="C14" s="229"/>
      <c r="D14" s="229"/>
      <c r="E14" s="42"/>
      <c r="G14" s="1"/>
      <c r="H14" s="1"/>
      <c r="I14" s="1"/>
      <c r="J14" s="1"/>
    </row>
    <row r="15" spans="2:10" x14ac:dyDescent="0.2">
      <c r="B15" s="150" t="s">
        <v>1031</v>
      </c>
      <c r="C15" s="229">
        <v>15</v>
      </c>
      <c r="D15" s="229"/>
      <c r="E15" s="42"/>
      <c r="G15" s="652" t="str">
        <f>CONCATENATE("Projected Carryover Into ",E1+1,"")</f>
        <v>Projected Carryover Into 2025</v>
      </c>
      <c r="H15" s="658"/>
      <c r="I15" s="658"/>
      <c r="J15" s="659"/>
    </row>
    <row r="16" spans="2:10" x14ac:dyDescent="0.2">
      <c r="B16" s="150"/>
      <c r="C16" s="229"/>
      <c r="D16" s="229"/>
      <c r="E16" s="42"/>
      <c r="G16" s="292"/>
      <c r="H16" s="294"/>
      <c r="I16" s="294"/>
      <c r="J16" s="311"/>
    </row>
    <row r="17" spans="2:11" x14ac:dyDescent="0.2">
      <c r="B17" s="150"/>
      <c r="C17" s="229"/>
      <c r="D17" s="229"/>
      <c r="E17" s="42"/>
      <c r="G17" s="312">
        <f>D34</f>
        <v>186429</v>
      </c>
      <c r="H17" s="310" t="str">
        <f>CONCATENATE("",E1-1," Ending Cash Balance (est.)")</f>
        <v>2023 Ending Cash Balance (est.)</v>
      </c>
      <c r="I17" s="313"/>
      <c r="J17" s="311"/>
    </row>
    <row r="18" spans="2:11" x14ac:dyDescent="0.2">
      <c r="B18" s="142" t="s">
        <v>87</v>
      </c>
      <c r="C18" s="229"/>
      <c r="D18" s="229"/>
      <c r="E18" s="42"/>
      <c r="G18" s="312">
        <f>E22</f>
        <v>0</v>
      </c>
      <c r="H18" s="294" t="str">
        <f>CONCATENATE("",E1," Non-AV Receipts (est.)")</f>
        <v>2024 Non-AV Receipts (est.)</v>
      </c>
      <c r="I18" s="313"/>
      <c r="J18" s="311"/>
    </row>
    <row r="19" spans="2:11" x14ac:dyDescent="0.2">
      <c r="B19" s="143" t="s">
        <v>40</v>
      </c>
      <c r="C19" s="229"/>
      <c r="D19" s="229"/>
      <c r="E19" s="42"/>
      <c r="G19" s="314">
        <f>IF(E39&gt;0,E38,E40)</f>
        <v>0</v>
      </c>
      <c r="H19" s="294" t="str">
        <f>CONCATENATE("",E1," Ad Valorem Tax (est.)")</f>
        <v>2024 Ad Valorem Tax (est.)</v>
      </c>
      <c r="I19" s="313"/>
      <c r="J19" s="311"/>
      <c r="K19" s="308" t="str">
        <f>IF(G19=E40,"","Note: Does not include Delinquent Taxes")</f>
        <v/>
      </c>
    </row>
    <row r="20" spans="2:11" x14ac:dyDescent="0.2">
      <c r="B20" s="143" t="s">
        <v>38</v>
      </c>
      <c r="C20" s="229">
        <v>0</v>
      </c>
      <c r="D20" s="229"/>
      <c r="E20" s="42"/>
      <c r="G20" s="312">
        <f>SUM(G17:G19)</f>
        <v>186429</v>
      </c>
      <c r="H20" s="294" t="str">
        <f>CONCATENATE("Total ",E1," Resources Available")</f>
        <v>Total 2024 Resources Available</v>
      </c>
      <c r="I20" s="313"/>
      <c r="J20" s="311"/>
    </row>
    <row r="21" spans="2:11" x14ac:dyDescent="0.2">
      <c r="B21" s="143" t="s">
        <v>278</v>
      </c>
      <c r="C21" s="230" t="str">
        <f>IF(C22*0.1&lt;C20,"Exceed 10% Rule","")</f>
        <v/>
      </c>
      <c r="D21" s="230" t="str">
        <f>IF(D22*0.1&lt;D20,"Exceed 10% Rule","")</f>
        <v/>
      </c>
      <c r="E21" s="170" t="str">
        <f>IF(E22*0.1+E40&lt;E20,"Exceed 10% Rule","")</f>
        <v/>
      </c>
      <c r="G21" s="315"/>
      <c r="H21" s="294"/>
      <c r="I21" s="294"/>
      <c r="J21" s="311"/>
    </row>
    <row r="22" spans="2:11" x14ac:dyDescent="0.25">
      <c r="B22" s="145" t="s">
        <v>88</v>
      </c>
      <c r="C22" s="457">
        <f>SUM(C8:C20)</f>
        <v>15</v>
      </c>
      <c r="D22" s="457">
        <f>SUM(D8:D20)</f>
        <v>0</v>
      </c>
      <c r="E22" s="457">
        <f>SUM(E8:E20)</f>
        <v>0</v>
      </c>
      <c r="G22" s="314">
        <f>ROUND(C33*0.05+C33,0)</f>
        <v>12257</v>
      </c>
      <c r="H22" s="294" t="str">
        <f>CONCATENATE("Less ",E1-2," Expenditures + 5%")</f>
        <v>Less 2022 Expenditures + 5%</v>
      </c>
      <c r="I22" s="313"/>
      <c r="J22" s="316"/>
    </row>
    <row r="23" spans="2:11" x14ac:dyDescent="0.2">
      <c r="B23" s="145" t="s">
        <v>89</v>
      </c>
      <c r="C23" s="457">
        <f>C6+C22</f>
        <v>218102</v>
      </c>
      <c r="D23" s="457">
        <f>D6+D22</f>
        <v>206429</v>
      </c>
      <c r="E23" s="457">
        <f>E6+E22</f>
        <v>186429</v>
      </c>
      <c r="G23" s="317">
        <f>G20-G22</f>
        <v>174172</v>
      </c>
      <c r="H23" s="318" t="str">
        <f>CONCATENATE("Projected ",E1+1," carryover (est.)")</f>
        <v>Projected 2025 carryover (est.)</v>
      </c>
      <c r="I23" s="319"/>
      <c r="J23" s="320"/>
    </row>
    <row r="24" spans="2:11" x14ac:dyDescent="0.25">
      <c r="B24" s="60" t="s">
        <v>92</v>
      </c>
      <c r="C24" s="143"/>
      <c r="D24" s="143"/>
      <c r="E24" s="38"/>
      <c r="G24" s="1"/>
      <c r="H24" s="1"/>
      <c r="I24" s="1"/>
      <c r="J24" s="1"/>
    </row>
    <row r="25" spans="2:11" x14ac:dyDescent="0.2">
      <c r="B25" s="150" t="s">
        <v>1033</v>
      </c>
      <c r="C25" s="229">
        <v>11673</v>
      </c>
      <c r="D25" s="229">
        <v>20000</v>
      </c>
      <c r="E25" s="42">
        <v>86429</v>
      </c>
      <c r="G25" s="633" t="s">
        <v>543</v>
      </c>
      <c r="H25" s="634"/>
      <c r="I25" s="634"/>
      <c r="J25" s="635"/>
    </row>
    <row r="26" spans="2:11" x14ac:dyDescent="0.2">
      <c r="B26" s="150" t="s">
        <v>1032</v>
      </c>
      <c r="C26" s="229"/>
      <c r="D26" s="229"/>
      <c r="E26" s="42">
        <v>100000</v>
      </c>
      <c r="G26" s="636"/>
      <c r="H26" s="637"/>
      <c r="I26" s="637"/>
      <c r="J26" s="638"/>
    </row>
    <row r="27" spans="2:11" x14ac:dyDescent="0.2">
      <c r="B27" s="150"/>
      <c r="C27" s="229"/>
      <c r="D27" s="229"/>
      <c r="E27" s="42"/>
      <c r="G27" s="504" t="str">
        <f>'Budget Hearing Notice'!H33</f>
        <v xml:space="preserve">  </v>
      </c>
      <c r="H27" s="310" t="str">
        <f>CONCATENATE("",E1," Estimated Fund Mill Rate")</f>
        <v>2024 Estimated Fund Mill Rate</v>
      </c>
      <c r="I27" s="505"/>
      <c r="J27" s="506"/>
    </row>
    <row r="28" spans="2:11" x14ac:dyDescent="0.2">
      <c r="B28" s="150"/>
      <c r="C28" s="229"/>
      <c r="D28" s="229"/>
      <c r="E28" s="42"/>
      <c r="G28" s="507">
        <f>'Budget Hearing Notice'!E33</f>
        <v>0</v>
      </c>
      <c r="H28" s="310" t="str">
        <f>CONCATENATE("",E1-1," Fund Mill Rate")</f>
        <v>2023 Fund Mill Rate</v>
      </c>
      <c r="I28" s="505"/>
      <c r="J28" s="506"/>
    </row>
    <row r="29" spans="2:11" x14ac:dyDescent="0.2">
      <c r="B29" s="150"/>
      <c r="C29" s="229"/>
      <c r="D29" s="229"/>
      <c r="E29" s="42"/>
      <c r="G29" s="508">
        <f>'Budget Hearing Notice'!H62</f>
        <v>36.917000000000002</v>
      </c>
      <c r="H29" s="509" t="s">
        <v>544</v>
      </c>
      <c r="I29" s="505"/>
      <c r="J29" s="506"/>
    </row>
    <row r="30" spans="2:11" x14ac:dyDescent="0.2">
      <c r="B30" s="143" t="str">
        <f>CONCATENATE("Cash Forward (",E1," column)")</f>
        <v>Cash Forward (2024 column)</v>
      </c>
      <c r="C30" s="229"/>
      <c r="D30" s="229"/>
      <c r="E30" s="42"/>
      <c r="G30" s="504">
        <f>'Budget Hearing Notice'!H61</f>
        <v>36.917000000000002</v>
      </c>
      <c r="H30" s="310" t="str">
        <f>CONCATENATE(E1," Estimated Total Mill Rate")</f>
        <v>2024 Estimated Total Mill Rate</v>
      </c>
      <c r="I30" s="505"/>
      <c r="J30" s="506"/>
    </row>
    <row r="31" spans="2:11" x14ac:dyDescent="0.2">
      <c r="B31" s="143" t="s">
        <v>38</v>
      </c>
      <c r="C31" s="229"/>
      <c r="D31" s="229"/>
      <c r="E31" s="42"/>
      <c r="G31" s="510">
        <f>'Budget Hearing Notice'!E61</f>
        <v>36.946999999999996</v>
      </c>
      <c r="H31" s="310" t="str">
        <f>CONCATENATE(E1-1," Total Mill Rate")</f>
        <v>2023 Total Mill Rate</v>
      </c>
      <c r="I31" s="505"/>
      <c r="J31" s="506"/>
    </row>
    <row r="32" spans="2:11" x14ac:dyDescent="0.2">
      <c r="B32" s="143" t="s">
        <v>277</v>
      </c>
      <c r="C32" s="230" t="str">
        <f>IF(C33*0.1&lt;C31,"Exceed 10% Rule","")</f>
        <v/>
      </c>
      <c r="D32" s="230" t="str">
        <f>IF(D33*0.1&lt;D31,"Exceed 10% Rule","")</f>
        <v/>
      </c>
      <c r="E32" s="170" t="str">
        <f>IF(E33*0.1&lt;E31,"Exceed 10% Rule","")</f>
        <v/>
      </c>
      <c r="G32" s="321"/>
      <c r="H32" s="293"/>
      <c r="I32" s="293"/>
      <c r="J32" s="323"/>
    </row>
    <row r="33" spans="2:10" x14ac:dyDescent="0.2">
      <c r="B33" s="145" t="s">
        <v>93</v>
      </c>
      <c r="C33" s="457">
        <f>SUM(C25:C31)</f>
        <v>11673</v>
      </c>
      <c r="D33" s="457">
        <f>SUM(D25:D31)</f>
        <v>20000</v>
      </c>
      <c r="E33" s="457">
        <f>SUM(E25:E31)</f>
        <v>186429</v>
      </c>
      <c r="G33" s="639" t="s">
        <v>545</v>
      </c>
      <c r="H33" s="640"/>
      <c r="I33" s="640"/>
      <c r="J33" s="643" t="str">
        <f>IF(G30&gt;G29, "Yes", "No")</f>
        <v>No</v>
      </c>
    </row>
    <row r="34" spans="2:10" x14ac:dyDescent="0.2">
      <c r="B34" s="60" t="s">
        <v>183</v>
      </c>
      <c r="C34" s="106">
        <f>C23-C33</f>
        <v>206429</v>
      </c>
      <c r="D34" s="106">
        <f>D23-D33</f>
        <v>186429</v>
      </c>
      <c r="E34" s="165" t="s">
        <v>66</v>
      </c>
      <c r="G34" s="641"/>
      <c r="H34" s="642"/>
      <c r="I34" s="642"/>
      <c r="J34" s="644"/>
    </row>
    <row r="35" spans="2:10" x14ac:dyDescent="0.2">
      <c r="B35" s="135" t="str">
        <f>CONCATENATE("",E1-2,"/",E1-1,"/",E1," Budget Authority Amount:")</f>
        <v>2022/2023/2024 Budget Authority Amount:</v>
      </c>
      <c r="C35" s="167">
        <f>inputOth!B52</f>
        <v>20000</v>
      </c>
      <c r="D35" s="167">
        <v>200000</v>
      </c>
      <c r="E35" s="106">
        <f>E33</f>
        <v>186429</v>
      </c>
      <c r="G35" s="645" t="str">
        <f>IF(J33="Yes", "Follow procedure prescribed by KSA 79-2988 to exceed the Revenue Neutral Rate.", " ")</f>
        <v xml:space="preserve"> </v>
      </c>
      <c r="H35" s="645"/>
      <c r="I35" s="645"/>
      <c r="J35" s="645"/>
    </row>
    <row r="36" spans="2:10" x14ac:dyDescent="0.2">
      <c r="B36" s="125"/>
      <c r="C36" s="647" t="s">
        <v>281</v>
      </c>
      <c r="D36" s="648"/>
      <c r="E36" s="42"/>
      <c r="G36" s="646"/>
      <c r="H36" s="646"/>
      <c r="I36" s="646"/>
      <c r="J36" s="646"/>
    </row>
    <row r="37" spans="2:10" x14ac:dyDescent="0.2">
      <c r="B37" s="263" t="str">
        <f>CONCATENATE(C96,"     ",D96)</f>
        <v xml:space="preserve">     </v>
      </c>
      <c r="C37" s="649" t="s">
        <v>282</v>
      </c>
      <c r="D37" s="650"/>
      <c r="E37" s="106">
        <f>E33+E36</f>
        <v>186429</v>
      </c>
      <c r="F37" s="151"/>
      <c r="G37" s="646"/>
      <c r="H37" s="646"/>
      <c r="I37" s="646"/>
      <c r="J37" s="646"/>
    </row>
    <row r="38" spans="2:10" x14ac:dyDescent="0.25">
      <c r="B38" s="263" t="str">
        <f>CONCATENATE(C97,"     ",D97)</f>
        <v xml:space="preserve">     </v>
      </c>
      <c r="C38" s="152"/>
      <c r="D38" s="90" t="s">
        <v>94</v>
      </c>
      <c r="E38" s="106">
        <f>IF(E37-E23&gt;0,E37-E23,0)</f>
        <v>0</v>
      </c>
      <c r="F38" s="238" t="str">
        <f>IF(E33/0.95-E33&lt;E36,"Exceeds 5%","")</f>
        <v/>
      </c>
      <c r="G38" s="1"/>
      <c r="H38" s="1"/>
      <c r="I38" s="1"/>
      <c r="J38" s="1"/>
    </row>
    <row r="39" spans="2:10" x14ac:dyDescent="0.25">
      <c r="B39" s="90"/>
      <c r="C39" s="262" t="s">
        <v>283</v>
      </c>
      <c r="D39" s="291">
        <f>inputOth!$E$28</f>
        <v>5.4000000000000003E-3</v>
      </c>
      <c r="E39" s="106">
        <f>ROUND(IF(D39&gt;0,($E$38*D39),0),0)</f>
        <v>0</v>
      </c>
      <c r="G39" s="1"/>
      <c r="H39" s="1"/>
      <c r="I39" s="1"/>
      <c r="J39" s="1"/>
    </row>
    <row r="40" spans="2:10" x14ac:dyDescent="0.25">
      <c r="B40" s="26"/>
      <c r="C40" s="631" t="str">
        <f>CONCATENATE("Amount of  ",$E$1-1," Ad Valorem Tax")</f>
        <v>Amount of  2023 Ad Valorem Tax</v>
      </c>
      <c r="D40" s="651"/>
      <c r="E40" s="106">
        <f>E38+E39</f>
        <v>0</v>
      </c>
      <c r="G40" s="1"/>
      <c r="H40" s="1"/>
      <c r="I40" s="1"/>
      <c r="J40" s="1"/>
    </row>
    <row r="41" spans="2:10" x14ac:dyDescent="0.25">
      <c r="B41" s="25"/>
      <c r="C41" s="155"/>
      <c r="D41" s="155"/>
      <c r="E41" s="155"/>
      <c r="G41" s="1"/>
      <c r="H41" s="1"/>
      <c r="I41" s="1"/>
      <c r="J41" s="1"/>
    </row>
    <row r="42" spans="2:10" x14ac:dyDescent="0.25">
      <c r="B42" s="25" t="s">
        <v>80</v>
      </c>
      <c r="C42" s="333" t="str">
        <f t="shared" ref="C42:E43" si="0">C4</f>
        <v xml:space="preserve">Prior Year </v>
      </c>
      <c r="D42" s="334" t="str">
        <f t="shared" si="0"/>
        <v xml:space="preserve">Current Year </v>
      </c>
      <c r="E42" s="80" t="str">
        <f t="shared" si="0"/>
        <v xml:space="preserve">Proposed Budget </v>
      </c>
      <c r="G42" s="1"/>
      <c r="H42" s="1"/>
      <c r="I42" s="1"/>
      <c r="J42" s="1"/>
    </row>
    <row r="43" spans="2:10" x14ac:dyDescent="0.25">
      <c r="B43" s="246" t="str">
        <f>inputPrYr!B37</f>
        <v>Diversion</v>
      </c>
      <c r="C43" s="231" t="str">
        <f t="shared" si="0"/>
        <v>Actual for 2022</v>
      </c>
      <c r="D43" s="231" t="str">
        <f t="shared" si="0"/>
        <v>Estimate for 2023</v>
      </c>
      <c r="E43" s="136" t="str">
        <f t="shared" si="0"/>
        <v>Year for 2024</v>
      </c>
      <c r="G43" s="1"/>
      <c r="H43" s="1"/>
      <c r="I43" s="1"/>
      <c r="J43" s="1"/>
    </row>
    <row r="44" spans="2:10" x14ac:dyDescent="0.25">
      <c r="B44" s="60" t="s">
        <v>182</v>
      </c>
      <c r="C44" s="229">
        <v>128576</v>
      </c>
      <c r="D44" s="232">
        <f>C74</f>
        <v>129380</v>
      </c>
      <c r="E44" s="106">
        <f>D74</f>
        <v>86380</v>
      </c>
      <c r="G44" s="1"/>
      <c r="H44" s="1"/>
      <c r="I44" s="1"/>
      <c r="J44" s="1"/>
    </row>
    <row r="45" spans="2:10" x14ac:dyDescent="0.25">
      <c r="B45" s="137" t="s">
        <v>184</v>
      </c>
      <c r="C45" s="139"/>
      <c r="D45" s="139"/>
      <c r="E45" s="50"/>
      <c r="G45" s="1"/>
      <c r="H45" s="1"/>
      <c r="I45" s="1"/>
      <c r="J45" s="1"/>
    </row>
    <row r="46" spans="2:10" x14ac:dyDescent="0.25">
      <c r="B46" s="60" t="s">
        <v>81</v>
      </c>
      <c r="C46" s="229"/>
      <c r="D46" s="232"/>
      <c r="E46" s="165"/>
      <c r="G46" s="1"/>
      <c r="H46" s="1"/>
      <c r="I46" s="1"/>
      <c r="J46" s="1"/>
    </row>
    <row r="47" spans="2:10" x14ac:dyDescent="0.25">
      <c r="B47" s="60" t="s">
        <v>82</v>
      </c>
      <c r="C47" s="229"/>
      <c r="D47" s="229"/>
      <c r="E47" s="42"/>
      <c r="G47" s="1"/>
      <c r="H47" s="1"/>
      <c r="I47" s="1"/>
      <c r="J47" s="1"/>
    </row>
    <row r="48" spans="2:10" x14ac:dyDescent="0.25">
      <c r="B48" s="60" t="s">
        <v>83</v>
      </c>
      <c r="C48" s="229"/>
      <c r="D48" s="229"/>
      <c r="E48" s="42"/>
      <c r="G48" s="1"/>
      <c r="H48" s="1"/>
      <c r="I48" s="1"/>
      <c r="J48" s="1"/>
    </row>
    <row r="49" spans="2:11" x14ac:dyDescent="0.25">
      <c r="B49" s="60" t="s">
        <v>84</v>
      </c>
      <c r="C49" s="229"/>
      <c r="D49" s="229"/>
      <c r="E49" s="42"/>
      <c r="G49" s="1"/>
      <c r="H49" s="1"/>
      <c r="I49" s="1"/>
      <c r="J49" s="1"/>
    </row>
    <row r="50" spans="2:11" x14ac:dyDescent="0.2">
      <c r="B50" s="139" t="s">
        <v>163</v>
      </c>
      <c r="C50" s="229"/>
      <c r="D50" s="229"/>
      <c r="E50" s="42"/>
      <c r="G50" s="652" t="str">
        <f>CONCATENATE("Desired Carryover Into ",E1+1,"")</f>
        <v>Desired Carryover Into 2025</v>
      </c>
      <c r="H50" s="653"/>
      <c r="I50" s="653"/>
      <c r="J50" s="654"/>
    </row>
    <row r="51" spans="2:11" x14ac:dyDescent="0.2">
      <c r="B51" s="137" t="s">
        <v>335</v>
      </c>
      <c r="C51" s="229"/>
      <c r="D51" s="229"/>
      <c r="E51" s="42"/>
      <c r="G51" s="292"/>
      <c r="H51" s="293"/>
      <c r="I51" s="294"/>
      <c r="J51" s="295"/>
    </row>
    <row r="52" spans="2:11" x14ac:dyDescent="0.2">
      <c r="B52" s="137" t="s">
        <v>336</v>
      </c>
      <c r="C52" s="229"/>
      <c r="D52" s="229"/>
      <c r="E52" s="42"/>
      <c r="G52" s="296" t="s">
        <v>284</v>
      </c>
      <c r="H52" s="294"/>
      <c r="I52" s="294"/>
      <c r="J52" s="297">
        <v>0</v>
      </c>
    </row>
    <row r="53" spans="2:11" x14ac:dyDescent="0.2">
      <c r="B53" s="150" t="s">
        <v>1034</v>
      </c>
      <c r="C53" s="229">
        <v>7547</v>
      </c>
      <c r="D53" s="229">
        <v>7000</v>
      </c>
      <c r="E53" s="42"/>
      <c r="G53" s="292" t="s">
        <v>285</v>
      </c>
      <c r="H53" s="293"/>
      <c r="I53" s="293"/>
      <c r="J53" s="298" t="str">
        <f>IF(J52=0,"",ROUND((J52+E80-G65)/inputOth!E6*1000,3)-G70)</f>
        <v/>
      </c>
    </row>
    <row r="54" spans="2:11" x14ac:dyDescent="0.2">
      <c r="B54" s="150"/>
      <c r="C54" s="229"/>
      <c r="D54" s="229"/>
      <c r="E54" s="42"/>
      <c r="G54" s="299" t="str">
        <f>CONCATENATE("",E1," Tot Exp/Non-Appr Must Be:")</f>
        <v>2024 Tot Exp/Non-Appr Must Be:</v>
      </c>
      <c r="H54" s="300"/>
      <c r="I54" s="301"/>
      <c r="J54" s="302">
        <f>IF(J52&gt;0,IF(E77&lt;E63,IF(J52=G65,E77,((J52-G65)*(1-D79))+E63),E77+(J52-G65)),0)</f>
        <v>0</v>
      </c>
    </row>
    <row r="55" spans="2:11" x14ac:dyDescent="0.2">
      <c r="B55" s="150"/>
      <c r="C55" s="229"/>
      <c r="D55" s="229"/>
      <c r="E55" s="42"/>
      <c r="G55" s="303" t="s">
        <v>305</v>
      </c>
      <c r="H55" s="304"/>
      <c r="I55" s="304"/>
      <c r="J55" s="305">
        <f>IF(J52&gt;0,J54-E77,0)</f>
        <v>0</v>
      </c>
    </row>
    <row r="56" spans="2:11" x14ac:dyDescent="0.25">
      <c r="B56" s="150"/>
      <c r="C56" s="229"/>
      <c r="D56" s="229"/>
      <c r="E56" s="42"/>
      <c r="G56" s="1"/>
      <c r="H56" s="1"/>
      <c r="I56" s="1"/>
      <c r="J56" s="1"/>
    </row>
    <row r="57" spans="2:11" x14ac:dyDescent="0.2">
      <c r="B57" s="142"/>
      <c r="C57" s="229"/>
      <c r="D57" s="229"/>
      <c r="E57" s="42"/>
      <c r="G57" s="652" t="str">
        <f>CONCATENATE("Projected Carryover Into ",E1+1,"")</f>
        <v>Projected Carryover Into 2025</v>
      </c>
      <c r="H57" s="660"/>
      <c r="I57" s="660"/>
      <c r="J57" s="659"/>
    </row>
    <row r="58" spans="2:11" x14ac:dyDescent="0.25">
      <c r="B58" s="142" t="s">
        <v>87</v>
      </c>
      <c r="C58" s="229"/>
      <c r="D58" s="229"/>
      <c r="E58" s="242"/>
      <c r="G58" s="321"/>
      <c r="H58" s="293"/>
      <c r="I58" s="293"/>
      <c r="J58" s="316"/>
    </row>
    <row r="59" spans="2:11" x14ac:dyDescent="0.25">
      <c r="B59" s="143" t="s">
        <v>40</v>
      </c>
      <c r="C59" s="229"/>
      <c r="D59" s="229"/>
      <c r="E59" s="242"/>
      <c r="G59" s="312">
        <f>D74</f>
        <v>86380</v>
      </c>
      <c r="H59" s="310" t="str">
        <f>CONCATENATE("",E1-1," Ending Cash Balance (est.)")</f>
        <v>2023 Ending Cash Balance (est.)</v>
      </c>
      <c r="I59" s="313"/>
      <c r="J59" s="316"/>
    </row>
    <row r="60" spans="2:11" x14ac:dyDescent="0.25">
      <c r="B60" s="143" t="s">
        <v>38</v>
      </c>
      <c r="C60" s="229"/>
      <c r="D60" s="229"/>
      <c r="E60" s="42"/>
      <c r="G60" s="312">
        <f>E62</f>
        <v>0</v>
      </c>
      <c r="H60" s="294" t="str">
        <f>CONCATENATE("",E1," Non-AV Receipts (est.)")</f>
        <v>2024 Non-AV Receipts (est.)</v>
      </c>
      <c r="I60" s="313"/>
      <c r="J60" s="316"/>
    </row>
    <row r="61" spans="2:11" x14ac:dyDescent="0.25">
      <c r="B61" s="143" t="s">
        <v>278</v>
      </c>
      <c r="C61" s="230" t="str">
        <f>IF(C62*0.1&lt;C60,"Exceed 10% Rule","")</f>
        <v/>
      </c>
      <c r="D61" s="230" t="str">
        <f>IF(D62*0.1&lt;D60,"Exceed 10% Rule","")</f>
        <v/>
      </c>
      <c r="E61" s="170" t="str">
        <f>IF(E62*0.1+E80&lt;E60,"Exceed 10% Rule","")</f>
        <v/>
      </c>
      <c r="G61" s="314">
        <f>IF(E79&gt;0,E78,E80)</f>
        <v>0</v>
      </c>
      <c r="H61" s="294" t="str">
        <f>CONCATENATE("",E1," Ad Valorem Tax (est.)")</f>
        <v>2024 Ad Valorem Tax (est.)</v>
      </c>
      <c r="I61" s="313"/>
      <c r="J61" s="316"/>
      <c r="K61" s="308" t="str">
        <f>IF(G61=E80,"","Note: Does not include Delinquent Taxes")</f>
        <v/>
      </c>
    </row>
    <row r="62" spans="2:11" x14ac:dyDescent="0.25">
      <c r="B62" s="145" t="s">
        <v>88</v>
      </c>
      <c r="C62" s="457">
        <f>SUM(C46:C60)</f>
        <v>7547</v>
      </c>
      <c r="D62" s="457">
        <f>SUM(D46:D60)</f>
        <v>7000</v>
      </c>
      <c r="E62" s="457">
        <f>SUM(E46:E60)</f>
        <v>0</v>
      </c>
      <c r="G62" s="322">
        <f>SUM(G59:G61)</f>
        <v>86380</v>
      </c>
      <c r="H62" s="294" t="str">
        <f>CONCATENATE("Total ",E1," Resources Available")</f>
        <v>Total 2024 Resources Available</v>
      </c>
      <c r="I62" s="323"/>
      <c r="J62" s="316"/>
    </row>
    <row r="63" spans="2:11" x14ac:dyDescent="0.25">
      <c r="B63" s="145" t="s">
        <v>89</v>
      </c>
      <c r="C63" s="457">
        <f>C44+C62</f>
        <v>136123</v>
      </c>
      <c r="D63" s="457">
        <f>D44+D62</f>
        <v>136380</v>
      </c>
      <c r="E63" s="457">
        <f>E44+E62</f>
        <v>86380</v>
      </c>
      <c r="G63" s="324"/>
      <c r="H63" s="325"/>
      <c r="I63" s="293"/>
      <c r="J63" s="316"/>
    </row>
    <row r="64" spans="2:11" x14ac:dyDescent="0.25">
      <c r="B64" s="60" t="s">
        <v>92</v>
      </c>
      <c r="C64" s="143"/>
      <c r="D64" s="143"/>
      <c r="E64" s="38"/>
      <c r="G64" s="326">
        <f>ROUND(C73*0.05+C73,0)</f>
        <v>7080</v>
      </c>
      <c r="H64" s="294" t="str">
        <f>CONCATENATE("Less ",E1-2," Expenditures + 5%")</f>
        <v>Less 2022 Expenditures + 5%</v>
      </c>
      <c r="I64" s="323"/>
      <c r="J64" s="316"/>
    </row>
    <row r="65" spans="2:10" x14ac:dyDescent="0.25">
      <c r="B65" s="150" t="s">
        <v>1035</v>
      </c>
      <c r="C65" s="229">
        <v>6743</v>
      </c>
      <c r="D65" s="229">
        <v>50000</v>
      </c>
      <c r="E65" s="42">
        <v>75000</v>
      </c>
      <c r="G65" s="327">
        <f>G62-G64</f>
        <v>79300</v>
      </c>
      <c r="H65" s="318" t="str">
        <f>CONCATENATE("Projected ",E1+1," carryover (est.)")</f>
        <v>Projected 2025 carryover (est.)</v>
      </c>
      <c r="I65" s="328"/>
      <c r="J65" s="329"/>
    </row>
    <row r="66" spans="2:10" x14ac:dyDescent="0.25">
      <c r="B66" s="150"/>
      <c r="C66" s="229"/>
      <c r="D66" s="229"/>
      <c r="E66" s="42"/>
      <c r="G66" s="1"/>
      <c r="H66" s="1"/>
      <c r="I66" s="1"/>
      <c r="J66" s="1"/>
    </row>
    <row r="67" spans="2:10" x14ac:dyDescent="0.2">
      <c r="B67" s="150"/>
      <c r="C67" s="229"/>
      <c r="D67" s="229"/>
      <c r="E67" s="42"/>
      <c r="G67" s="633" t="s">
        <v>543</v>
      </c>
      <c r="H67" s="634"/>
      <c r="I67" s="634"/>
      <c r="J67" s="635"/>
    </row>
    <row r="68" spans="2:10" x14ac:dyDescent="0.2">
      <c r="B68" s="150"/>
      <c r="C68" s="229"/>
      <c r="D68" s="229"/>
      <c r="E68" s="42"/>
      <c r="G68" s="636"/>
      <c r="H68" s="637"/>
      <c r="I68" s="637"/>
      <c r="J68" s="638"/>
    </row>
    <row r="69" spans="2:10" x14ac:dyDescent="0.2">
      <c r="B69" s="150"/>
      <c r="C69" s="229"/>
      <c r="D69" s="229"/>
      <c r="E69" s="42"/>
      <c r="G69" s="504" t="str">
        <f>'Budget Hearing Notice'!H34</f>
        <v xml:space="preserve">  </v>
      </c>
      <c r="H69" s="310" t="str">
        <f>CONCATENATE("",E1," Estimated Fund Mill Rate")</f>
        <v>2024 Estimated Fund Mill Rate</v>
      </c>
      <c r="I69" s="505"/>
      <c r="J69" s="506"/>
    </row>
    <row r="70" spans="2:10" x14ac:dyDescent="0.2">
      <c r="B70" s="143" t="str">
        <f>CONCATENATE("Cash Forward (",E1," column)")</f>
        <v>Cash Forward (2024 column)</v>
      </c>
      <c r="C70" s="229"/>
      <c r="D70" s="229"/>
      <c r="E70" s="42"/>
      <c r="G70" s="507">
        <f>'Budget Hearing Notice'!E34</f>
        <v>0</v>
      </c>
      <c r="H70" s="310" t="str">
        <f>CONCATENATE("",E1-1," Fund Mill Rate")</f>
        <v>2023 Fund Mill Rate</v>
      </c>
      <c r="I70" s="505"/>
      <c r="J70" s="506"/>
    </row>
    <row r="71" spans="2:10" x14ac:dyDescent="0.2">
      <c r="B71" s="143" t="s">
        <v>38</v>
      </c>
      <c r="C71" s="229"/>
      <c r="D71" s="229"/>
      <c r="E71" s="42"/>
      <c r="G71" s="508">
        <f>'Budget Hearing Notice'!H62</f>
        <v>36.917000000000002</v>
      </c>
      <c r="H71" s="509" t="s">
        <v>544</v>
      </c>
      <c r="I71" s="505"/>
      <c r="J71" s="506"/>
    </row>
    <row r="72" spans="2:10" x14ac:dyDescent="0.2">
      <c r="B72" s="143" t="s">
        <v>277</v>
      </c>
      <c r="C72" s="230" t="str">
        <f>IF(C73*0.1&lt;C71,"Exceed 10% Rule","")</f>
        <v/>
      </c>
      <c r="D72" s="230" t="str">
        <f>IF(D73*0.1&lt;D71,"Exceed 10% Rule","")</f>
        <v/>
      </c>
      <c r="E72" s="170" t="str">
        <f>IF(E73*0.1&lt;E71,"Exceed 10% Rule","")</f>
        <v/>
      </c>
      <c r="G72" s="504">
        <f>'Budget Hearing Notice'!H61</f>
        <v>36.917000000000002</v>
      </c>
      <c r="H72" s="310" t="str">
        <f>CONCATENATE(E1," Estimated Total Mill Rate")</f>
        <v>2024 Estimated Total Mill Rate</v>
      </c>
      <c r="I72" s="505"/>
      <c r="J72" s="506"/>
    </row>
    <row r="73" spans="2:10" x14ac:dyDescent="0.2">
      <c r="B73" s="145" t="s">
        <v>93</v>
      </c>
      <c r="C73" s="457">
        <f>SUM(C65:C71)</f>
        <v>6743</v>
      </c>
      <c r="D73" s="457">
        <f>SUM(D65:D71)</f>
        <v>50000</v>
      </c>
      <c r="E73" s="457">
        <f>SUM(E65:E71)</f>
        <v>75000</v>
      </c>
      <c r="G73" s="510">
        <f>'Budget Hearing Notice'!E61</f>
        <v>36.946999999999996</v>
      </c>
      <c r="H73" s="310" t="str">
        <f>CONCATENATE(E1-1," Total Mill Rate")</f>
        <v>2023 Total Mill Rate</v>
      </c>
      <c r="I73" s="505"/>
      <c r="J73" s="506"/>
    </row>
    <row r="74" spans="2:10" x14ac:dyDescent="0.2">
      <c r="B74" s="60" t="s">
        <v>183</v>
      </c>
      <c r="C74" s="106">
        <f>C63-C73</f>
        <v>129380</v>
      </c>
      <c r="D74" s="106">
        <f>D63-D73</f>
        <v>86380</v>
      </c>
      <c r="E74" s="165" t="s">
        <v>66</v>
      </c>
      <c r="G74" s="321"/>
      <c r="H74" s="293"/>
      <c r="I74" s="293"/>
      <c r="J74" s="323"/>
    </row>
    <row r="75" spans="2:10" x14ac:dyDescent="0.2">
      <c r="B75" s="135" t="str">
        <f>CONCATENATE("",E1-2,"/",E1-1,"/",E1," Budget Authority Amount:")</f>
        <v>2022/2023/2024 Budget Authority Amount:</v>
      </c>
      <c r="C75" s="167">
        <f>inputOth!B53</f>
        <v>75000</v>
      </c>
      <c r="D75" s="167">
        <v>75000</v>
      </c>
      <c r="E75" s="106">
        <f>E73</f>
        <v>75000</v>
      </c>
      <c r="G75" s="639" t="s">
        <v>545</v>
      </c>
      <c r="H75" s="640"/>
      <c r="I75" s="640"/>
      <c r="J75" s="643" t="str">
        <f>IF(G72&gt;G71, "Yes", "No")</f>
        <v>No</v>
      </c>
    </row>
    <row r="76" spans="2:10" x14ac:dyDescent="0.2">
      <c r="B76" s="125"/>
      <c r="C76" s="647" t="s">
        <v>281</v>
      </c>
      <c r="D76" s="648"/>
      <c r="E76" s="42"/>
      <c r="G76" s="641"/>
      <c r="H76" s="642"/>
      <c r="I76" s="642"/>
      <c r="J76" s="644"/>
    </row>
    <row r="77" spans="2:10" x14ac:dyDescent="0.2">
      <c r="B77" s="263" t="str">
        <f>CONCATENATE(C98,"     ",D98)</f>
        <v xml:space="preserve">     </v>
      </c>
      <c r="C77" s="649" t="s">
        <v>282</v>
      </c>
      <c r="D77" s="650"/>
      <c r="E77" s="106">
        <f>E73+E76</f>
        <v>75000</v>
      </c>
      <c r="G77" s="645" t="str">
        <f>IF(J75="Yes", "Follow procedure prescribed by KSA 79-2988 to exceed the Revenue Neutral Rate.", " ")</f>
        <v xml:space="preserve"> </v>
      </c>
      <c r="H77" s="645"/>
      <c r="I77" s="645"/>
      <c r="J77" s="645"/>
    </row>
    <row r="78" spans="2:10" x14ac:dyDescent="0.2">
      <c r="B78" s="263" t="str">
        <f>CONCATENATE(C99,"     ",D99)</f>
        <v xml:space="preserve">     </v>
      </c>
      <c r="C78" s="152"/>
      <c r="D78" s="90" t="s">
        <v>94</v>
      </c>
      <c r="E78" s="106">
        <f>IF(E77-E63&gt;0,E77-E63,0)</f>
        <v>0</v>
      </c>
      <c r="G78" s="646"/>
      <c r="H78" s="646"/>
      <c r="I78" s="646"/>
      <c r="J78" s="646"/>
    </row>
    <row r="79" spans="2:10" x14ac:dyDescent="0.2">
      <c r="B79" s="90"/>
      <c r="C79" s="262" t="s">
        <v>283</v>
      </c>
      <c r="D79" s="291">
        <f>inputOth!$E$28</f>
        <v>5.4000000000000003E-3</v>
      </c>
      <c r="E79" s="106">
        <f>ROUND(IF(D79&gt;0,($E$78*D79),0),0)</f>
        <v>0</v>
      </c>
      <c r="F79" s="151"/>
      <c r="G79" s="646"/>
      <c r="H79" s="646"/>
      <c r="I79" s="646"/>
      <c r="J79" s="646"/>
    </row>
    <row r="80" spans="2:10" x14ac:dyDescent="0.2">
      <c r="B80" s="26"/>
      <c r="C80" s="631" t="str">
        <f>CONCATENATE("Amount of  ",$E$1-1," Ad Valorem Tax")</f>
        <v>Amount of  2023 Ad Valorem Tax</v>
      </c>
      <c r="D80" s="651"/>
      <c r="E80" s="106">
        <f>E78+E79</f>
        <v>0</v>
      </c>
      <c r="F80" s="238" t="str">
        <f>IF(E73/0.95-E73&lt;E76,"Exceeds 5%","")</f>
        <v/>
      </c>
    </row>
    <row r="81" spans="2:5" x14ac:dyDescent="0.2">
      <c r="B81" s="26"/>
      <c r="C81" s="125"/>
      <c r="D81" s="26"/>
      <c r="E81" s="125"/>
    </row>
    <row r="82" spans="2:5" x14ac:dyDescent="0.2">
      <c r="B82" s="417" t="s">
        <v>341</v>
      </c>
      <c r="C82" s="396"/>
      <c r="D82" s="341"/>
      <c r="E82" s="403"/>
    </row>
    <row r="83" spans="2:5" x14ac:dyDescent="0.2">
      <c r="B83" s="126"/>
      <c r="C83" s="125"/>
      <c r="D83" s="26"/>
      <c r="E83" s="404"/>
    </row>
    <row r="84" spans="2:5" x14ac:dyDescent="0.2">
      <c r="B84" s="397"/>
      <c r="C84" s="402"/>
      <c r="D84" s="44"/>
      <c r="E84" s="405"/>
    </row>
    <row r="85" spans="2:5" x14ac:dyDescent="0.2">
      <c r="B85" s="26"/>
      <c r="C85" s="125"/>
      <c r="D85" s="26"/>
      <c r="E85" s="125"/>
    </row>
    <row r="86" spans="2:5" x14ac:dyDescent="0.2">
      <c r="B86" s="125" t="s">
        <v>133</v>
      </c>
      <c r="C86" s="362">
        <v>15</v>
      </c>
      <c r="D86" s="26"/>
      <c r="E86" s="26"/>
    </row>
    <row r="95" spans="2:5" hidden="1" x14ac:dyDescent="0.2"/>
    <row r="96" spans="2:5" hidden="1" x14ac:dyDescent="0.2">
      <c r="C96" s="23" t="str">
        <f>IF(C33&gt;C35,"See Tab A","")</f>
        <v/>
      </c>
      <c r="D96" s="23" t="str">
        <f>IF(D33&gt;D35,"See Tab C","")</f>
        <v/>
      </c>
    </row>
    <row r="97" spans="3:4" hidden="1" x14ac:dyDescent="0.2">
      <c r="C97" s="23" t="str">
        <f>IF(C34&lt;0,"See Tab B","")</f>
        <v/>
      </c>
      <c r="D97" s="23" t="str">
        <f>IF(D34&lt;0,"See Tab D","")</f>
        <v/>
      </c>
    </row>
    <row r="98" spans="3:4" hidden="1" x14ac:dyDescent="0.2">
      <c r="C98" s="23" t="str">
        <f>IF(C73&gt;C75,"See Tab A","")</f>
        <v/>
      </c>
      <c r="D98" s="23" t="str">
        <f>IF(D73&gt;D75,"See Tab C","")</f>
        <v/>
      </c>
    </row>
    <row r="99" spans="3:4" x14ac:dyDescent="0.2">
      <c r="C99" s="23" t="str">
        <f>IF(C74&lt;0,"See Tab B","")</f>
        <v/>
      </c>
      <c r="D99" s="23" t="str">
        <f>IF(D74&lt;0,"See Tab D","")</f>
        <v/>
      </c>
    </row>
  </sheetData>
  <mergeCells count="18">
    <mergeCell ref="C80:D80"/>
    <mergeCell ref="C40:D40"/>
    <mergeCell ref="G67:J68"/>
    <mergeCell ref="G75:I76"/>
    <mergeCell ref="J75:J76"/>
    <mergeCell ref="G77:J79"/>
    <mergeCell ref="C36:D36"/>
    <mergeCell ref="C37:D37"/>
    <mergeCell ref="C76:D76"/>
    <mergeCell ref="C77:D77"/>
    <mergeCell ref="G35:J37"/>
    <mergeCell ref="G8:J8"/>
    <mergeCell ref="G15:J15"/>
    <mergeCell ref="G50:J50"/>
    <mergeCell ref="G57:J57"/>
    <mergeCell ref="G25:J26"/>
    <mergeCell ref="G33:I34"/>
    <mergeCell ref="J33:J34"/>
  </mergeCells>
  <phoneticPr fontId="0" type="noConversion"/>
  <conditionalFormatting sqref="E71">
    <cfRule type="cellIs" dxfId="195" priority="15" stopIfTrue="1" operator="greaterThan">
      <formula>$E$73*0.1</formula>
    </cfRule>
  </conditionalFormatting>
  <conditionalFormatting sqref="E76">
    <cfRule type="cellIs" dxfId="194" priority="16" stopIfTrue="1" operator="greaterThan">
      <formula>$E$73/0.95-$E$73</formula>
    </cfRule>
  </conditionalFormatting>
  <conditionalFormatting sqref="E36">
    <cfRule type="cellIs" dxfId="193" priority="17" stopIfTrue="1" operator="greaterThan">
      <formula>$E$33/0.95-$E$33</formula>
    </cfRule>
  </conditionalFormatting>
  <conditionalFormatting sqref="E31">
    <cfRule type="cellIs" dxfId="192" priority="18" stopIfTrue="1" operator="greaterThan">
      <formula>$E$33*0.1</formula>
    </cfRule>
  </conditionalFormatting>
  <conditionalFormatting sqref="C71">
    <cfRule type="cellIs" dxfId="191" priority="22" stopIfTrue="1" operator="greaterThan">
      <formula>$C$73*0.1</formula>
    </cfRule>
  </conditionalFormatting>
  <conditionalFormatting sqref="D71">
    <cfRule type="cellIs" dxfId="190" priority="23" stopIfTrue="1" operator="greaterThan">
      <formula>$D$73*0.1</formula>
    </cfRule>
  </conditionalFormatting>
  <conditionalFormatting sqref="E60">
    <cfRule type="cellIs" dxfId="189" priority="24" stopIfTrue="1" operator="greaterThan">
      <formula>$E$62*0.1+E80</formula>
    </cfRule>
  </conditionalFormatting>
  <conditionalFormatting sqref="C60">
    <cfRule type="cellIs" dxfId="188" priority="25" stopIfTrue="1" operator="greaterThan">
      <formula>$C$62*0.1</formula>
    </cfRule>
  </conditionalFormatting>
  <conditionalFormatting sqref="D60">
    <cfRule type="cellIs" dxfId="187" priority="26" stopIfTrue="1" operator="greaterThan">
      <formula>$D$62*0.1</formula>
    </cfRule>
  </conditionalFormatting>
  <conditionalFormatting sqref="C31">
    <cfRule type="cellIs" dxfId="186" priority="29" stopIfTrue="1" operator="greaterThan">
      <formula>$C$33*0.1</formula>
    </cfRule>
  </conditionalFormatting>
  <conditionalFormatting sqref="D31">
    <cfRule type="cellIs" dxfId="185" priority="30" stopIfTrue="1" operator="greaterThan">
      <formula>$D$33*0.1</formula>
    </cfRule>
  </conditionalFormatting>
  <conditionalFormatting sqref="E20">
    <cfRule type="cellIs" dxfId="184" priority="31" stopIfTrue="1" operator="greaterThan">
      <formula>$E$22*0.1+E40</formula>
    </cfRule>
  </conditionalFormatting>
  <conditionalFormatting sqref="C20">
    <cfRule type="cellIs" dxfId="183" priority="32" stopIfTrue="1" operator="greaterThan">
      <formula>$C$22*0.1</formula>
    </cfRule>
  </conditionalFormatting>
  <conditionalFormatting sqref="D20">
    <cfRule type="cellIs" dxfId="182" priority="33" stopIfTrue="1" operator="greaterThan">
      <formula>$D$22*0.1</formula>
    </cfRule>
  </conditionalFormatting>
  <conditionalFormatting sqref="J75">
    <cfRule type="containsText" dxfId="181" priority="12" operator="containsText" text="Yes">
      <formula>NOT(ISERROR(SEARCH("Yes",J75)))</formula>
    </cfRule>
  </conditionalFormatting>
  <conditionalFormatting sqref="J33">
    <cfRule type="containsText" dxfId="180" priority="11" operator="containsText" text="Yes">
      <formula>NOT(ISERROR(SEARCH("Yes",J33)))</formula>
    </cfRule>
  </conditionalFormatting>
  <conditionalFormatting sqref="C33">
    <cfRule type="cellIs" dxfId="179" priority="7" stopIfTrue="1" operator="greaterThan">
      <formula>$C$35</formula>
    </cfRule>
  </conditionalFormatting>
  <conditionalFormatting sqref="D33">
    <cfRule type="cellIs" dxfId="178" priority="8" stopIfTrue="1" operator="greaterThan">
      <formula>$D$35</formula>
    </cfRule>
  </conditionalFormatting>
  <conditionalFormatting sqref="D73">
    <cfRule type="cellIs" dxfId="177" priority="10" stopIfTrue="1" operator="greaterThan">
      <formula>$D$75</formula>
    </cfRule>
  </conditionalFormatting>
  <conditionalFormatting sqref="C73">
    <cfRule type="cellIs" dxfId="176" priority="5" stopIfTrue="1" operator="greaterThan">
      <formula>$C$75</formula>
    </cfRule>
  </conditionalFormatting>
  <conditionalFormatting sqref="C34">
    <cfRule type="cellIs" dxfId="175" priority="1" stopIfTrue="1" operator="lessThan">
      <formula>0</formula>
    </cfRule>
  </conditionalFormatting>
  <conditionalFormatting sqref="D34">
    <cfRule type="cellIs" dxfId="174" priority="2" stopIfTrue="1" operator="lessThan">
      <formula>0</formula>
    </cfRule>
  </conditionalFormatting>
  <conditionalFormatting sqref="C74">
    <cfRule type="cellIs" dxfId="173" priority="3" stopIfTrue="1" operator="lessThan">
      <formula>0</formula>
    </cfRule>
  </conditionalFormatting>
  <conditionalFormatting sqref="D74">
    <cfRule type="cellIs" dxfId="172" priority="4" stopIfTrue="1" operator="lessThan">
      <formula>0</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pageSetUpPr fitToPage="1"/>
  </sheetPr>
  <dimension ref="B1:K100"/>
  <sheetViews>
    <sheetView zoomScaleNormal="100"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inputPrYr!B38</f>
        <v>Solid Waste</v>
      </c>
      <c r="C5" s="231" t="str">
        <f>CONCATENATE("Actual for ",E1-2,"")</f>
        <v>Actual for 2022</v>
      </c>
      <c r="D5" s="231" t="str">
        <f>CONCATENATE("Estimate for ",E1-1,"")</f>
        <v>Estimate for 2023</v>
      </c>
      <c r="E5" s="136" t="str">
        <f>CONCATENATE("Year for ",E1,"")</f>
        <v>Year for 2024</v>
      </c>
    </row>
    <row r="6" spans="2:10" x14ac:dyDescent="0.2">
      <c r="B6" s="60" t="s">
        <v>182</v>
      </c>
      <c r="C6" s="229">
        <v>468256</v>
      </c>
      <c r="D6" s="232">
        <f>C34</f>
        <v>476746</v>
      </c>
      <c r="E6" s="106">
        <f>D34</f>
        <v>469856</v>
      </c>
    </row>
    <row r="7" spans="2:10" x14ac:dyDescent="0.2">
      <c r="B7" s="128" t="s">
        <v>184</v>
      </c>
      <c r="C7" s="139"/>
      <c r="D7" s="139"/>
      <c r="E7" s="50"/>
    </row>
    <row r="8" spans="2:10" x14ac:dyDescent="0.2">
      <c r="B8" s="60" t="s">
        <v>81</v>
      </c>
      <c r="C8" s="229"/>
      <c r="D8" s="232"/>
      <c r="E8" s="165"/>
    </row>
    <row r="9" spans="2:10" x14ac:dyDescent="0.2">
      <c r="B9" s="60" t="s">
        <v>82</v>
      </c>
      <c r="C9" s="229"/>
      <c r="D9" s="229"/>
      <c r="E9" s="42"/>
    </row>
    <row r="10" spans="2:10" x14ac:dyDescent="0.2">
      <c r="B10" s="60" t="s">
        <v>83</v>
      </c>
      <c r="C10" s="229"/>
      <c r="D10" s="229"/>
      <c r="E10" s="42"/>
      <c r="G10" s="652" t="str">
        <f>CONCATENATE("Desired Carryover Into ",E1+1,"")</f>
        <v>Desired Carryover Into 2025</v>
      </c>
      <c r="H10" s="653"/>
      <c r="I10" s="653"/>
      <c r="J10" s="654"/>
    </row>
    <row r="11" spans="2:10" x14ac:dyDescent="0.2">
      <c r="B11" s="60" t="s">
        <v>84</v>
      </c>
      <c r="C11" s="229"/>
      <c r="D11" s="229"/>
      <c r="E11" s="42"/>
      <c r="G11" s="292"/>
      <c r="H11" s="293"/>
      <c r="I11" s="294"/>
      <c r="J11" s="295"/>
    </row>
    <row r="12" spans="2:10" x14ac:dyDescent="0.2">
      <c r="B12" s="139" t="s">
        <v>163</v>
      </c>
      <c r="C12" s="229"/>
      <c r="D12" s="229"/>
      <c r="E12" s="42"/>
      <c r="G12" s="296" t="s">
        <v>284</v>
      </c>
      <c r="H12" s="294"/>
      <c r="I12" s="294"/>
      <c r="J12" s="297">
        <v>0</v>
      </c>
    </row>
    <row r="13" spans="2:10" x14ac:dyDescent="0.2">
      <c r="B13" s="137" t="s">
        <v>335</v>
      </c>
      <c r="C13" s="229"/>
      <c r="D13" s="229"/>
      <c r="E13" s="42"/>
      <c r="G13" s="292" t="s">
        <v>285</v>
      </c>
      <c r="H13" s="293"/>
      <c r="I13" s="293"/>
      <c r="J13" s="298" t="str">
        <f>IF(J12=0,"",ROUND((J12+E40-G25)/inputOth!E6*1000,3)-G30)</f>
        <v/>
      </c>
    </row>
    <row r="14" spans="2:10" x14ac:dyDescent="0.2">
      <c r="B14" s="137" t="s">
        <v>336</v>
      </c>
      <c r="C14" s="229"/>
      <c r="D14" s="229"/>
      <c r="E14" s="42"/>
      <c r="G14" s="299" t="str">
        <f>CONCATENATE("",E1," Tot Exp/Non-Appr Must Be:")</f>
        <v>2024 Tot Exp/Non-Appr Must Be:</v>
      </c>
      <c r="H14" s="300"/>
      <c r="I14" s="301"/>
      <c r="J14" s="302">
        <f>IF(J12&gt;0,IF(E37&lt;E23,IF(J12=G25,E37,((J12-G25)*(1-D39))+E23),E37+(J12-G25)),0)</f>
        <v>0</v>
      </c>
    </row>
    <row r="15" spans="2:10" x14ac:dyDescent="0.2">
      <c r="B15" s="150" t="s">
        <v>1036</v>
      </c>
      <c r="C15" s="229">
        <v>22050</v>
      </c>
      <c r="D15" s="229">
        <v>18110</v>
      </c>
      <c r="E15" s="42"/>
      <c r="G15" s="303" t="s">
        <v>305</v>
      </c>
      <c r="H15" s="304"/>
      <c r="I15" s="304"/>
      <c r="J15" s="305">
        <f>IF(J12&gt;0,J14-E37,0)</f>
        <v>0</v>
      </c>
    </row>
    <row r="16" spans="2:10" x14ac:dyDescent="0.25">
      <c r="B16" s="150" t="s">
        <v>1010</v>
      </c>
      <c r="C16" s="229">
        <v>1554</v>
      </c>
      <c r="D16" s="229">
        <v>5000</v>
      </c>
      <c r="E16" s="42"/>
      <c r="G16" s="1"/>
      <c r="H16" s="1"/>
      <c r="I16" s="1"/>
      <c r="J16" s="1"/>
    </row>
    <row r="17" spans="2:11" x14ac:dyDescent="0.2">
      <c r="B17" s="150"/>
      <c r="C17" s="229"/>
      <c r="D17" s="229"/>
      <c r="E17" s="42"/>
      <c r="G17" s="652" t="str">
        <f>CONCATENATE("Projected Carryover Into ",E1+1,"")</f>
        <v>Projected Carryover Into 2025</v>
      </c>
      <c r="H17" s="658"/>
      <c r="I17" s="658"/>
      <c r="J17" s="659"/>
    </row>
    <row r="18" spans="2:11" x14ac:dyDescent="0.2">
      <c r="B18" s="142" t="s">
        <v>87</v>
      </c>
      <c r="C18" s="229"/>
      <c r="D18" s="229"/>
      <c r="E18" s="42"/>
      <c r="G18" s="292"/>
      <c r="H18" s="294"/>
      <c r="I18" s="294"/>
      <c r="J18" s="311"/>
    </row>
    <row r="19" spans="2:11" x14ac:dyDescent="0.2">
      <c r="B19" s="143" t="s">
        <v>40</v>
      </c>
      <c r="C19" s="229"/>
      <c r="D19" s="229"/>
      <c r="E19" s="42"/>
      <c r="G19" s="312">
        <f>D34</f>
        <v>469856</v>
      </c>
      <c r="H19" s="310" t="str">
        <f>CONCATENATE("",E1-1," Ending Cash Balance (est.)")</f>
        <v>2023 Ending Cash Balance (est.)</v>
      </c>
      <c r="I19" s="313"/>
      <c r="J19" s="311"/>
    </row>
    <row r="20" spans="2:11" x14ac:dyDescent="0.2">
      <c r="B20" s="143" t="s">
        <v>38</v>
      </c>
      <c r="C20" s="229"/>
      <c r="D20" s="229"/>
      <c r="E20" s="42"/>
      <c r="G20" s="312">
        <f>E22</f>
        <v>0</v>
      </c>
      <c r="H20" s="294" t="str">
        <f>CONCATENATE("",E1," Non-AV Receipts (est.)")</f>
        <v>2024 Non-AV Receipts (est.)</v>
      </c>
      <c r="I20" s="313"/>
      <c r="J20" s="311"/>
    </row>
    <row r="21" spans="2:11" x14ac:dyDescent="0.2">
      <c r="B21" s="143" t="s">
        <v>278</v>
      </c>
      <c r="C21" s="230" t="str">
        <f>IF(C22*0.1&lt;C20,"Exceed 10% Rule","")</f>
        <v/>
      </c>
      <c r="D21" s="230" t="str">
        <f>IF(D22*0.1&lt;D20,"Exceed 10% Rule","")</f>
        <v/>
      </c>
      <c r="E21" s="170" t="str">
        <f>IF(E22*0.1+E40&lt;E20,"Exceed 10% Rule","")</f>
        <v/>
      </c>
      <c r="G21" s="314">
        <f>IF(E39&gt;0,E38,E40)</f>
        <v>0</v>
      </c>
      <c r="H21" s="294" t="str">
        <f>CONCATENATE("",E1," Ad Valorem Tax (est.)")</f>
        <v>2024 Ad Valorem Tax (est.)</v>
      </c>
      <c r="I21" s="313"/>
      <c r="J21" s="311"/>
      <c r="K21" s="308" t="str">
        <f>IF(G21=E40,"","Note: Does not include Delinquent Taxes")</f>
        <v/>
      </c>
    </row>
    <row r="22" spans="2:11" x14ac:dyDescent="0.2">
      <c r="B22" s="145" t="s">
        <v>88</v>
      </c>
      <c r="C22" s="457">
        <f>SUM(C8:C20)</f>
        <v>23604</v>
      </c>
      <c r="D22" s="457">
        <f>SUM(D8:D20)</f>
        <v>23110</v>
      </c>
      <c r="E22" s="457">
        <f>SUM(E8:E20)</f>
        <v>0</v>
      </c>
      <c r="G22" s="312">
        <f>SUM(G19:G21)</f>
        <v>469856</v>
      </c>
      <c r="H22" s="294" t="str">
        <f>CONCATENATE("Total ",E1," Resources Available")</f>
        <v>Total 2024 Resources Available</v>
      </c>
      <c r="I22" s="313"/>
      <c r="J22" s="311"/>
    </row>
    <row r="23" spans="2:11" x14ac:dyDescent="0.2">
      <c r="B23" s="145" t="s">
        <v>89</v>
      </c>
      <c r="C23" s="457">
        <f>C6+C22</f>
        <v>491860</v>
      </c>
      <c r="D23" s="457">
        <f>D6+D22</f>
        <v>499856</v>
      </c>
      <c r="E23" s="457">
        <f>E6+E22</f>
        <v>469856</v>
      </c>
      <c r="G23" s="315"/>
      <c r="H23" s="294"/>
      <c r="I23" s="294"/>
      <c r="J23" s="311"/>
    </row>
    <row r="24" spans="2:11" x14ac:dyDescent="0.25">
      <c r="B24" s="60" t="s">
        <v>92</v>
      </c>
      <c r="C24" s="143"/>
      <c r="D24" s="143"/>
      <c r="E24" s="38"/>
      <c r="G24" s="314">
        <f>ROUND(C33*0.05+C33,0)</f>
        <v>15870</v>
      </c>
      <c r="H24" s="294" t="str">
        <f>CONCATENATE("Less ",E1-2," Expenditures + 5%")</f>
        <v>Less 2022 Expenditures + 5%</v>
      </c>
      <c r="I24" s="313"/>
      <c r="J24" s="316"/>
    </row>
    <row r="25" spans="2:11" x14ac:dyDescent="0.2">
      <c r="B25" s="150" t="s">
        <v>993</v>
      </c>
      <c r="C25" s="229"/>
      <c r="D25" s="229"/>
      <c r="E25" s="42"/>
      <c r="G25" s="317">
        <f>G22-G24</f>
        <v>453986</v>
      </c>
      <c r="H25" s="318" t="str">
        <f>CONCATENATE("Projected ",E1+1," carryover (est.)")</f>
        <v>Projected 2025 carryover (est.)</v>
      </c>
      <c r="I25" s="319"/>
      <c r="J25" s="320"/>
    </row>
    <row r="26" spans="2:11" x14ac:dyDescent="0.25">
      <c r="B26" s="150" t="s">
        <v>994</v>
      </c>
      <c r="C26" s="229">
        <v>15114</v>
      </c>
      <c r="D26" s="229">
        <v>30000</v>
      </c>
      <c r="E26" s="42">
        <v>400000</v>
      </c>
      <c r="G26" s="1"/>
      <c r="H26" s="1"/>
      <c r="I26" s="1"/>
      <c r="J26" s="1"/>
    </row>
    <row r="27" spans="2:11" x14ac:dyDescent="0.2">
      <c r="B27" s="150" t="s">
        <v>1007</v>
      </c>
      <c r="C27" s="229"/>
      <c r="D27" s="229"/>
      <c r="E27" s="42"/>
      <c r="G27" s="633" t="s">
        <v>543</v>
      </c>
      <c r="H27" s="634"/>
      <c r="I27" s="634"/>
      <c r="J27" s="635"/>
    </row>
    <row r="28" spans="2:11" x14ac:dyDescent="0.2">
      <c r="B28" s="150" t="s">
        <v>998</v>
      </c>
      <c r="C28" s="229"/>
      <c r="D28" s="229"/>
      <c r="E28" s="42"/>
      <c r="G28" s="636"/>
      <c r="H28" s="637"/>
      <c r="I28" s="637"/>
      <c r="J28" s="638"/>
    </row>
    <row r="29" spans="2:11" x14ac:dyDescent="0.2">
      <c r="B29" s="150"/>
      <c r="C29" s="229"/>
      <c r="D29" s="229"/>
      <c r="E29" s="42"/>
      <c r="G29" s="504" t="str">
        <f>'Budget Hearing Notice'!H35</f>
        <v xml:space="preserve">  </v>
      </c>
      <c r="H29" s="310" t="str">
        <f>CONCATENATE("",E1," Estimated Fund Mill Rate")</f>
        <v>2024 Estimated Fund Mill Rate</v>
      </c>
      <c r="I29" s="505"/>
      <c r="J29" s="506"/>
    </row>
    <row r="30" spans="2:11" x14ac:dyDescent="0.2">
      <c r="B30" s="143" t="str">
        <f>CONCATENATE("Cash Forward (",E1," column)")</f>
        <v>Cash Forward (2024 column)</v>
      </c>
      <c r="C30" s="229"/>
      <c r="D30" s="229"/>
      <c r="E30" s="42"/>
      <c r="G30" s="507">
        <f>'Budget Hearing Notice'!E35</f>
        <v>0</v>
      </c>
      <c r="H30" s="310" t="str">
        <f>CONCATENATE("",E1-1," Fund Mill Rate")</f>
        <v>2023 Fund Mill Rate</v>
      </c>
      <c r="I30" s="505"/>
      <c r="J30" s="506"/>
    </row>
    <row r="31" spans="2:11" x14ac:dyDescent="0.2">
      <c r="B31" s="143" t="s">
        <v>38</v>
      </c>
      <c r="C31" s="229"/>
      <c r="D31" s="229"/>
      <c r="E31" s="42"/>
      <c r="G31" s="508">
        <f>'Budget Hearing Notice'!H62</f>
        <v>36.917000000000002</v>
      </c>
      <c r="H31" s="509" t="s">
        <v>544</v>
      </c>
      <c r="I31" s="505"/>
      <c r="J31" s="506"/>
    </row>
    <row r="32" spans="2:11" x14ac:dyDescent="0.2">
      <c r="B32" s="143" t="s">
        <v>277</v>
      </c>
      <c r="C32" s="230" t="str">
        <f>IF(C33*0.1&lt;C31,"Exceed 10% Rule","")</f>
        <v/>
      </c>
      <c r="D32" s="230" t="str">
        <f>IF(D33*0.1&lt;D31,"Exceed 10% Rule","")</f>
        <v/>
      </c>
      <c r="E32" s="170" t="str">
        <f>IF(E33*0.1&lt;E31,"Exceed 10% Rule","")</f>
        <v/>
      </c>
      <c r="G32" s="504">
        <f>'Budget Hearing Notice'!H61</f>
        <v>36.917000000000002</v>
      </c>
      <c r="H32" s="310" t="str">
        <f>CONCATENATE(E1," Estimated Total Mill Rate")</f>
        <v>2024 Estimated Total Mill Rate</v>
      </c>
      <c r="I32" s="505"/>
      <c r="J32" s="506"/>
    </row>
    <row r="33" spans="2:10" ht="15.75" customHeight="1" x14ac:dyDescent="0.2">
      <c r="B33" s="145" t="s">
        <v>93</v>
      </c>
      <c r="C33" s="457">
        <f>SUM(C25:C31)</f>
        <v>15114</v>
      </c>
      <c r="D33" s="457">
        <f>SUM(D25:D31)</f>
        <v>30000</v>
      </c>
      <c r="E33" s="457">
        <f>SUM(E25:E31)</f>
        <v>400000</v>
      </c>
      <c r="G33" s="510">
        <f>'Budget Hearing Notice'!E61</f>
        <v>36.946999999999996</v>
      </c>
      <c r="H33" s="310" t="str">
        <f>CONCATENATE(E1-1," Total Mill Rate")</f>
        <v>2023 Total Mill Rate</v>
      </c>
      <c r="I33" s="505"/>
      <c r="J33" s="506"/>
    </row>
    <row r="34" spans="2:10" x14ac:dyDescent="0.2">
      <c r="B34" s="60" t="s">
        <v>183</v>
      </c>
      <c r="C34" s="106">
        <f>C23-C33</f>
        <v>476746</v>
      </c>
      <c r="D34" s="106">
        <f>D23-D33</f>
        <v>469856</v>
      </c>
      <c r="E34" s="165" t="s">
        <v>66</v>
      </c>
      <c r="G34" s="321"/>
      <c r="H34" s="293"/>
      <c r="I34" s="293"/>
      <c r="J34" s="323"/>
    </row>
    <row r="35" spans="2:10" x14ac:dyDescent="0.2">
      <c r="B35" s="135" t="str">
        <f>CONCATENATE("",E1-2,"/",E1-1,"/",E1," Budget Authority Amount:")</f>
        <v>2022/2023/2024 Budget Authority Amount:</v>
      </c>
      <c r="C35" s="167">
        <f>inputOth!B54</f>
        <v>30000</v>
      </c>
      <c r="D35" s="167">
        <v>30000</v>
      </c>
      <c r="E35" s="106">
        <f>E33</f>
        <v>400000</v>
      </c>
      <c r="G35" s="639" t="s">
        <v>545</v>
      </c>
      <c r="H35" s="640"/>
      <c r="I35" s="640"/>
      <c r="J35" s="643" t="str">
        <f>IF(G32&gt;G31, "Yes", "No")</f>
        <v>No</v>
      </c>
    </row>
    <row r="36" spans="2:10" x14ac:dyDescent="0.2">
      <c r="B36" s="125"/>
      <c r="C36" s="647" t="s">
        <v>281</v>
      </c>
      <c r="D36" s="648"/>
      <c r="E36" s="42"/>
      <c r="G36" s="641"/>
      <c r="H36" s="642"/>
      <c r="I36" s="642"/>
      <c r="J36" s="644"/>
    </row>
    <row r="37" spans="2:10" x14ac:dyDescent="0.2">
      <c r="B37" s="263" t="str">
        <f>CONCATENATE(C97,"     ",D97)</f>
        <v xml:space="preserve">     </v>
      </c>
      <c r="C37" s="649" t="s">
        <v>282</v>
      </c>
      <c r="D37" s="650"/>
      <c r="E37" s="106">
        <f>E33+E36</f>
        <v>400000</v>
      </c>
      <c r="F37" s="151"/>
      <c r="G37" s="645" t="str">
        <f>IF(J35="Yes", "Follow procedure prescribed by KSA 79-2988 to exceed the Revenue Neutral Rate.", " ")</f>
        <v xml:space="preserve"> </v>
      </c>
      <c r="H37" s="645"/>
      <c r="I37" s="645"/>
      <c r="J37" s="645"/>
    </row>
    <row r="38" spans="2:10" x14ac:dyDescent="0.2">
      <c r="B38" s="263" t="str">
        <f>CONCATENATE(C98,"     ",D98)</f>
        <v xml:space="preserve">     </v>
      </c>
      <c r="C38" s="152"/>
      <c r="D38" s="90" t="s">
        <v>94</v>
      </c>
      <c r="E38" s="106">
        <f>IF(E37-E23&gt;0,E37-E23,0)</f>
        <v>0</v>
      </c>
      <c r="F38" s="238" t="str">
        <f>IF(E33/0.95-E33&lt;E36,"Exceeds 5%","")</f>
        <v/>
      </c>
      <c r="G38" s="646"/>
      <c r="H38" s="646"/>
      <c r="I38" s="646"/>
      <c r="J38" s="646"/>
    </row>
    <row r="39" spans="2:10" x14ac:dyDescent="0.2">
      <c r="B39" s="90"/>
      <c r="C39" s="262" t="s">
        <v>283</v>
      </c>
      <c r="D39" s="291">
        <f>inputOth!$E$28</f>
        <v>5.4000000000000003E-3</v>
      </c>
      <c r="E39" s="106">
        <f>ROUND(IF(D39&gt;0,($E$38*D39),0),0)</f>
        <v>0</v>
      </c>
      <c r="G39" s="646"/>
      <c r="H39" s="646"/>
      <c r="I39" s="646"/>
      <c r="J39" s="646"/>
    </row>
    <row r="40" spans="2:10" x14ac:dyDescent="0.25">
      <c r="B40" s="26"/>
      <c r="C40" s="631" t="str">
        <f>CONCATENATE("Amount of  ",$E$1-1," Ad Valorem Tax")</f>
        <v>Amount of  2023 Ad Valorem Tax</v>
      </c>
      <c r="D40" s="651"/>
      <c r="E40" s="106">
        <f>E38+E39</f>
        <v>0</v>
      </c>
      <c r="G40" s="1"/>
      <c r="H40" s="1"/>
      <c r="I40" s="1"/>
      <c r="J40" s="1"/>
    </row>
    <row r="41" spans="2:10" ht="15.75" customHeight="1" x14ac:dyDescent="0.25">
      <c r="B41" s="26"/>
      <c r="C41" s="155"/>
      <c r="D41" s="155"/>
      <c r="E41" s="155"/>
      <c r="G41" s="1"/>
      <c r="H41" s="1"/>
      <c r="I41" s="1"/>
      <c r="J41" s="1"/>
    </row>
    <row r="42" spans="2:10" ht="15.75" customHeight="1" x14ac:dyDescent="0.25">
      <c r="B42" s="25" t="s">
        <v>80</v>
      </c>
      <c r="C42" s="333" t="str">
        <f t="shared" ref="C42:E43" si="0">C4</f>
        <v xml:space="preserve">Prior Year </v>
      </c>
      <c r="D42" s="334" t="str">
        <f t="shared" si="0"/>
        <v xml:space="preserve">Current Year </v>
      </c>
      <c r="E42" s="80" t="str">
        <f t="shared" si="0"/>
        <v xml:space="preserve">Proposed Budget </v>
      </c>
      <c r="G42" s="1"/>
      <c r="H42" s="1"/>
      <c r="I42" s="1"/>
      <c r="J42" s="1"/>
    </row>
    <row r="43" spans="2:10" x14ac:dyDescent="0.25">
      <c r="B43" s="246" t="str">
        <f>inputPrYr!B39</f>
        <v>Central Kitchen</v>
      </c>
      <c r="C43" s="231" t="str">
        <f t="shared" si="0"/>
        <v>Actual for 2022</v>
      </c>
      <c r="D43" s="231" t="str">
        <f t="shared" si="0"/>
        <v>Estimate for 2023</v>
      </c>
      <c r="E43" s="136" t="str">
        <f t="shared" si="0"/>
        <v>Year for 2024</v>
      </c>
      <c r="G43" s="1"/>
      <c r="H43" s="1"/>
      <c r="I43" s="1"/>
      <c r="J43" s="1"/>
    </row>
    <row r="44" spans="2:10" x14ac:dyDescent="0.25">
      <c r="B44" s="60" t="s">
        <v>182</v>
      </c>
      <c r="C44" s="229">
        <v>13057</v>
      </c>
      <c r="D44" s="232">
        <f>C75</f>
        <v>14930</v>
      </c>
      <c r="E44" s="106">
        <f>D75</f>
        <v>16873</v>
      </c>
      <c r="G44" s="1"/>
      <c r="H44" s="1"/>
      <c r="I44" s="1"/>
      <c r="J44" s="1"/>
    </row>
    <row r="45" spans="2:10" x14ac:dyDescent="0.25">
      <c r="B45" s="137" t="s">
        <v>184</v>
      </c>
      <c r="C45" s="139"/>
      <c r="D45" s="139"/>
      <c r="E45" s="50"/>
      <c r="G45" s="1"/>
      <c r="H45" s="1"/>
      <c r="I45" s="1"/>
      <c r="J45" s="1"/>
    </row>
    <row r="46" spans="2:10" x14ac:dyDescent="0.25">
      <c r="B46" s="60" t="s">
        <v>81</v>
      </c>
      <c r="C46" s="229"/>
      <c r="D46" s="232"/>
      <c r="E46" s="165"/>
      <c r="G46" s="1"/>
      <c r="H46" s="1"/>
      <c r="I46" s="1"/>
      <c r="J46" s="1"/>
    </row>
    <row r="47" spans="2:10" x14ac:dyDescent="0.25">
      <c r="B47" s="60" t="s">
        <v>82</v>
      </c>
      <c r="C47" s="229"/>
      <c r="D47" s="229"/>
      <c r="E47" s="42"/>
      <c r="G47" s="1"/>
      <c r="H47" s="1"/>
      <c r="I47" s="1"/>
      <c r="J47" s="1"/>
    </row>
    <row r="48" spans="2:10" x14ac:dyDescent="0.25">
      <c r="B48" s="60" t="s">
        <v>83</v>
      </c>
      <c r="C48" s="229"/>
      <c r="D48" s="229"/>
      <c r="E48" s="42"/>
      <c r="G48" s="1"/>
      <c r="H48" s="1"/>
      <c r="I48" s="1"/>
      <c r="J48" s="1"/>
    </row>
    <row r="49" spans="2:11" x14ac:dyDescent="0.25">
      <c r="B49" s="60" t="s">
        <v>84</v>
      </c>
      <c r="C49" s="229"/>
      <c r="D49" s="229"/>
      <c r="E49" s="42"/>
      <c r="G49" s="1"/>
      <c r="H49" s="1"/>
      <c r="I49" s="1"/>
      <c r="J49" s="1"/>
    </row>
    <row r="50" spans="2:11" x14ac:dyDescent="0.2">
      <c r="B50" s="139" t="s">
        <v>163</v>
      </c>
      <c r="C50" s="229"/>
      <c r="D50" s="229"/>
      <c r="E50" s="42"/>
      <c r="G50" s="652" t="str">
        <f>CONCATENATE("Desired Carryover Into ",E1+1,"")</f>
        <v>Desired Carryover Into 2025</v>
      </c>
      <c r="H50" s="653"/>
      <c r="I50" s="653"/>
      <c r="J50" s="654"/>
    </row>
    <row r="51" spans="2:11" x14ac:dyDescent="0.2">
      <c r="B51" s="137" t="s">
        <v>335</v>
      </c>
      <c r="C51" s="229"/>
      <c r="D51" s="229"/>
      <c r="E51" s="42"/>
      <c r="G51" s="292"/>
      <c r="H51" s="293"/>
      <c r="I51" s="294"/>
      <c r="J51" s="295"/>
    </row>
    <row r="52" spans="2:11" x14ac:dyDescent="0.2">
      <c r="B52" s="137" t="s">
        <v>336</v>
      </c>
      <c r="C52" s="229"/>
      <c r="D52" s="229"/>
      <c r="E52" s="42"/>
      <c r="G52" s="296" t="s">
        <v>284</v>
      </c>
      <c r="H52" s="294"/>
      <c r="I52" s="294"/>
      <c r="J52" s="297">
        <v>0</v>
      </c>
    </row>
    <row r="53" spans="2:11" x14ac:dyDescent="0.2">
      <c r="B53" s="150" t="s">
        <v>1037</v>
      </c>
      <c r="C53" s="229">
        <v>213116</v>
      </c>
      <c r="D53" s="229">
        <v>230000</v>
      </c>
      <c r="E53" s="42">
        <v>230000</v>
      </c>
      <c r="G53" s="292" t="s">
        <v>285</v>
      </c>
      <c r="H53" s="293"/>
      <c r="I53" s="293"/>
      <c r="J53" s="298" t="str">
        <f>IF(J52=0,"",ROUND((J52+E81-G65)/inputOth!E6*1000,3)-G70)</f>
        <v/>
      </c>
    </row>
    <row r="54" spans="2:11" x14ac:dyDescent="0.2">
      <c r="B54" s="150" t="s">
        <v>978</v>
      </c>
      <c r="C54" s="229">
        <v>581</v>
      </c>
      <c r="D54" s="229"/>
      <c r="E54" s="42"/>
      <c r="G54" s="299" t="str">
        <f>CONCATENATE("",E1," Tot Exp/Non-Appr Must Be:")</f>
        <v>2024 Tot Exp/Non-Appr Must Be:</v>
      </c>
      <c r="H54" s="300"/>
      <c r="I54" s="301"/>
      <c r="J54" s="302">
        <f>IF(J52&gt;0,IF(E78&lt;E63,IF(J52=G65,E78,((J52-G65)*(1-D80))+E63),E78+(J52-G65)),0)</f>
        <v>0</v>
      </c>
    </row>
    <row r="55" spans="2:11" x14ac:dyDescent="0.2">
      <c r="B55" s="150"/>
      <c r="C55" s="229"/>
      <c r="D55" s="229"/>
      <c r="E55" s="42"/>
      <c r="G55" s="303" t="s">
        <v>305</v>
      </c>
      <c r="H55" s="304"/>
      <c r="I55" s="304"/>
      <c r="J55" s="305">
        <f>IF(J52&gt;0,J54-E78,0)</f>
        <v>0</v>
      </c>
    </row>
    <row r="56" spans="2:11" x14ac:dyDescent="0.25">
      <c r="B56" s="150"/>
      <c r="C56" s="229"/>
      <c r="D56" s="229"/>
      <c r="E56" s="42"/>
      <c r="G56" s="1"/>
      <c r="H56" s="1"/>
      <c r="I56" s="1"/>
      <c r="J56" s="1"/>
    </row>
    <row r="57" spans="2:11" x14ac:dyDescent="0.2">
      <c r="B57" s="150"/>
      <c r="C57" s="229"/>
      <c r="D57" s="229"/>
      <c r="E57" s="42"/>
      <c r="G57" s="652" t="str">
        <f>CONCATENATE("Projected Carryover Into ",E1+1,"")</f>
        <v>Projected Carryover Into 2025</v>
      </c>
      <c r="H57" s="660"/>
      <c r="I57" s="660"/>
      <c r="J57" s="659"/>
    </row>
    <row r="58" spans="2:11" x14ac:dyDescent="0.25">
      <c r="B58" s="142" t="s">
        <v>87</v>
      </c>
      <c r="C58" s="229"/>
      <c r="D58" s="229"/>
      <c r="E58" s="42"/>
      <c r="G58" s="321"/>
      <c r="H58" s="293"/>
      <c r="I58" s="293"/>
      <c r="J58" s="316"/>
    </row>
    <row r="59" spans="2:11" x14ac:dyDescent="0.25">
      <c r="B59" s="143" t="s">
        <v>40</v>
      </c>
      <c r="C59" s="229"/>
      <c r="D59" s="229"/>
      <c r="E59" s="42"/>
      <c r="G59" s="312">
        <f>D75</f>
        <v>16873</v>
      </c>
      <c r="H59" s="310" t="str">
        <f>CONCATENATE("",E1-1," Ending Cash Balance (est.)")</f>
        <v>2023 Ending Cash Balance (est.)</v>
      </c>
      <c r="I59" s="313"/>
      <c r="J59" s="316"/>
    </row>
    <row r="60" spans="2:11" x14ac:dyDescent="0.25">
      <c r="B60" s="143" t="s">
        <v>38</v>
      </c>
      <c r="C60" s="229"/>
      <c r="D60" s="229"/>
      <c r="E60" s="42"/>
      <c r="G60" s="312">
        <f>E62</f>
        <v>230000</v>
      </c>
      <c r="H60" s="294" t="str">
        <f>CONCATENATE("",E1," Non-AV Receipts (est.)")</f>
        <v>2024 Non-AV Receipts (est.)</v>
      </c>
      <c r="I60" s="313"/>
      <c r="J60" s="316"/>
    </row>
    <row r="61" spans="2:11" x14ac:dyDescent="0.25">
      <c r="B61" s="143" t="s">
        <v>278</v>
      </c>
      <c r="C61" s="230" t="str">
        <f>IF(C62*0.1&lt;C60,"Exceed 10% Rule","")</f>
        <v/>
      </c>
      <c r="D61" s="230" t="str">
        <f>IF(D62*0.1&lt;D60,"Exceed 10% Rule","")</f>
        <v/>
      </c>
      <c r="E61" s="170" t="str">
        <f>IF(E62*0.1+E81&lt;E60,"Exceed 10% Rule","")</f>
        <v/>
      </c>
      <c r="G61" s="314">
        <f>IF(E80&gt;0,E79,E81)</f>
        <v>0</v>
      </c>
      <c r="H61" s="294" t="str">
        <f>CONCATENATE("",E1," Ad Valorem Tax (est.)")</f>
        <v>2024 Ad Valorem Tax (est.)</v>
      </c>
      <c r="I61" s="313"/>
      <c r="J61" s="316"/>
      <c r="K61" s="308" t="str">
        <f>IF(G61=E81,"","Note: Does not include Delinquent Taxes")</f>
        <v/>
      </c>
    </row>
    <row r="62" spans="2:11" x14ac:dyDescent="0.25">
      <c r="B62" s="145" t="s">
        <v>88</v>
      </c>
      <c r="C62" s="457">
        <f>SUM(C46:C60)</f>
        <v>213697</v>
      </c>
      <c r="D62" s="457">
        <f>SUM(D46:D60)</f>
        <v>230000</v>
      </c>
      <c r="E62" s="457">
        <f>SUM(E46:E60)</f>
        <v>230000</v>
      </c>
      <c r="G62" s="322">
        <f>SUM(G59:G61)</f>
        <v>246873</v>
      </c>
      <c r="H62" s="294" t="str">
        <f>CONCATENATE("Total ",E1," Resources Available")</f>
        <v>Total 2024 Resources Available</v>
      </c>
      <c r="I62" s="323"/>
      <c r="J62" s="316"/>
    </row>
    <row r="63" spans="2:11" x14ac:dyDescent="0.25">
      <c r="B63" s="145" t="s">
        <v>89</v>
      </c>
      <c r="C63" s="457">
        <f>C44+C62</f>
        <v>226754</v>
      </c>
      <c r="D63" s="457">
        <f>D44+D62</f>
        <v>244930</v>
      </c>
      <c r="E63" s="457">
        <f>E44+E62</f>
        <v>246873</v>
      </c>
      <c r="G63" s="324"/>
      <c r="H63" s="325"/>
      <c r="I63" s="293"/>
      <c r="J63" s="316"/>
    </row>
    <row r="64" spans="2:11" x14ac:dyDescent="0.25">
      <c r="B64" s="60" t="s">
        <v>92</v>
      </c>
      <c r="C64" s="143"/>
      <c r="D64" s="143"/>
      <c r="E64" s="38"/>
      <c r="G64" s="326">
        <f>ROUND(C74*0.05+C74,0)</f>
        <v>222415</v>
      </c>
      <c r="H64" s="294" t="str">
        <f>CONCATENATE("Less ",E1-2," Expenditures + 5%")</f>
        <v>Less 2022 Expenditures + 5%</v>
      </c>
      <c r="I64" s="323"/>
      <c r="J64" s="316"/>
    </row>
    <row r="65" spans="2:10" x14ac:dyDescent="0.25">
      <c r="B65" s="150" t="s">
        <v>993</v>
      </c>
      <c r="C65" s="229">
        <v>53620</v>
      </c>
      <c r="D65" s="229">
        <v>69557</v>
      </c>
      <c r="E65" s="42">
        <v>75000</v>
      </c>
      <c r="G65" s="327">
        <f>G62-G64</f>
        <v>24458</v>
      </c>
      <c r="H65" s="318" t="str">
        <f>CONCATENATE("Projected ",E1+1," carryover (est.)")</f>
        <v>Projected 2025 carryover (est.)</v>
      </c>
      <c r="I65" s="328"/>
      <c r="J65" s="329"/>
    </row>
    <row r="66" spans="2:10" x14ac:dyDescent="0.25">
      <c r="B66" s="150" t="s">
        <v>994</v>
      </c>
      <c r="C66" s="229">
        <v>7444</v>
      </c>
      <c r="D66" s="229">
        <v>3500</v>
      </c>
      <c r="E66" s="42">
        <v>6000</v>
      </c>
      <c r="G66" s="1"/>
      <c r="H66" s="1"/>
      <c r="I66" s="1"/>
      <c r="J66" s="1"/>
    </row>
    <row r="67" spans="2:10" x14ac:dyDescent="0.2">
      <c r="B67" s="150" t="s">
        <v>1007</v>
      </c>
      <c r="C67" s="229">
        <v>150760</v>
      </c>
      <c r="D67" s="229">
        <v>155000</v>
      </c>
      <c r="E67" s="42">
        <v>165000</v>
      </c>
      <c r="G67" s="633" t="s">
        <v>543</v>
      </c>
      <c r="H67" s="634"/>
      <c r="I67" s="634"/>
      <c r="J67" s="635"/>
    </row>
    <row r="68" spans="2:10" x14ac:dyDescent="0.2">
      <c r="B68" s="150" t="s">
        <v>1038</v>
      </c>
      <c r="C68" s="229"/>
      <c r="D68" s="229"/>
      <c r="E68" s="42"/>
      <c r="G68" s="636"/>
      <c r="H68" s="637"/>
      <c r="I68" s="637"/>
      <c r="J68" s="638"/>
    </row>
    <row r="69" spans="2:10" x14ac:dyDescent="0.2">
      <c r="B69" s="150"/>
      <c r="C69" s="229"/>
      <c r="D69" s="229"/>
      <c r="E69" s="42"/>
      <c r="G69" s="504" t="str">
        <f>'Budget Hearing Notice'!H36</f>
        <v xml:space="preserve">  </v>
      </c>
      <c r="H69" s="310" t="str">
        <f>CONCATENATE("",E1," Estimated Fund Mill Rate")</f>
        <v>2024 Estimated Fund Mill Rate</v>
      </c>
      <c r="I69" s="505"/>
      <c r="J69" s="506"/>
    </row>
    <row r="70" spans="2:10" x14ac:dyDescent="0.2">
      <c r="B70" s="150"/>
      <c r="C70" s="229"/>
      <c r="D70" s="229"/>
      <c r="E70" s="42"/>
      <c r="G70" s="507">
        <f>'Budget Hearing Notice'!E36</f>
        <v>0</v>
      </c>
      <c r="H70" s="310" t="str">
        <f>CONCATENATE("",E1-1," Fund Mill Rate")</f>
        <v>2023 Fund Mill Rate</v>
      </c>
      <c r="I70" s="505"/>
      <c r="J70" s="506"/>
    </row>
    <row r="71" spans="2:10" x14ac:dyDescent="0.2">
      <c r="B71" s="143" t="str">
        <f>CONCATENATE("Cash Forward (",E1," column)")</f>
        <v>Cash Forward (2024 column)</v>
      </c>
      <c r="C71" s="229"/>
      <c r="D71" s="229"/>
      <c r="E71" s="42"/>
      <c r="G71" s="508">
        <f>'Budget Hearing Notice'!H62</f>
        <v>36.917000000000002</v>
      </c>
      <c r="H71" s="509" t="s">
        <v>544</v>
      </c>
      <c r="I71" s="505"/>
      <c r="J71" s="506"/>
    </row>
    <row r="72" spans="2:10" x14ac:dyDescent="0.2">
      <c r="B72" s="143" t="s">
        <v>38</v>
      </c>
      <c r="C72" s="229"/>
      <c r="D72" s="229"/>
      <c r="E72" s="42"/>
      <c r="G72" s="504">
        <f>'Budget Hearing Notice'!H61</f>
        <v>36.917000000000002</v>
      </c>
      <c r="H72" s="310" t="str">
        <f>CONCATENATE(E1," Estimated Total Mill Rate")</f>
        <v>2024 Estimated Total Mill Rate</v>
      </c>
      <c r="I72" s="505"/>
      <c r="J72" s="506"/>
    </row>
    <row r="73" spans="2:10" x14ac:dyDescent="0.2">
      <c r="B73" s="143" t="s">
        <v>277</v>
      </c>
      <c r="C73" s="230" t="str">
        <f>IF(C74*0.1&lt;C72,"Exceed 10% Rule","")</f>
        <v/>
      </c>
      <c r="D73" s="230" t="str">
        <f>IF(D74*0.1&lt;D72,"Exceed 10% Rule","")</f>
        <v/>
      </c>
      <c r="E73" s="170" t="str">
        <f>IF(E74*0.1&lt;E72,"Exceed 10% Rule","")</f>
        <v/>
      </c>
      <c r="G73" s="510">
        <f>'Budget Hearing Notice'!E61</f>
        <v>36.946999999999996</v>
      </c>
      <c r="H73" s="310" t="str">
        <f>CONCATENATE(E1-1," Total Mill Rate")</f>
        <v>2023 Total Mill Rate</v>
      </c>
      <c r="I73" s="505"/>
      <c r="J73" s="506"/>
    </row>
    <row r="74" spans="2:10" x14ac:dyDescent="0.2">
      <c r="B74" s="145" t="s">
        <v>93</v>
      </c>
      <c r="C74" s="457">
        <f>SUM(C65:C72)</f>
        <v>211824</v>
      </c>
      <c r="D74" s="457">
        <f>SUM(D65:D72)</f>
        <v>228057</v>
      </c>
      <c r="E74" s="457">
        <f>SUM(E65:E72)</f>
        <v>246000</v>
      </c>
      <c r="G74" s="321"/>
      <c r="H74" s="293"/>
      <c r="I74" s="293"/>
      <c r="J74" s="323"/>
    </row>
    <row r="75" spans="2:10" x14ac:dyDescent="0.2">
      <c r="B75" s="60" t="s">
        <v>183</v>
      </c>
      <c r="C75" s="106">
        <f>C63-C74</f>
        <v>14930</v>
      </c>
      <c r="D75" s="106">
        <f>D63-D74</f>
        <v>16873</v>
      </c>
      <c r="E75" s="165" t="s">
        <v>66</v>
      </c>
      <c r="G75" s="639" t="s">
        <v>545</v>
      </c>
      <c r="H75" s="640"/>
      <c r="I75" s="640"/>
      <c r="J75" s="643" t="str">
        <f>IF(G72&gt;G71, "Yes", "No")</f>
        <v>No</v>
      </c>
    </row>
    <row r="76" spans="2:10" x14ac:dyDescent="0.2">
      <c r="B76" s="135" t="str">
        <f>CONCATENATE("",E1-2,"/",E1-1,"/",E1," Budget Authority Amount:")</f>
        <v>2022/2023/2024 Budget Authority Amount:</v>
      </c>
      <c r="C76" s="167">
        <f>inputOth!B55</f>
        <v>440878</v>
      </c>
      <c r="D76" s="167">
        <v>310000</v>
      </c>
      <c r="E76" s="106">
        <f>E74</f>
        <v>246000</v>
      </c>
      <c r="G76" s="641"/>
      <c r="H76" s="642"/>
      <c r="I76" s="642"/>
      <c r="J76" s="644"/>
    </row>
    <row r="77" spans="2:10" x14ac:dyDescent="0.2">
      <c r="B77" s="125"/>
      <c r="C77" s="647" t="s">
        <v>281</v>
      </c>
      <c r="D77" s="648"/>
      <c r="E77" s="42"/>
      <c r="G77" s="645" t="str">
        <f>IF(J75="Yes", "Follow procedure prescribed by KSA 79-2988 to exceed the Revenue Neutral Rate.", " ")</f>
        <v xml:space="preserve"> </v>
      </c>
      <c r="H77" s="645"/>
      <c r="I77" s="645"/>
      <c r="J77" s="645"/>
    </row>
    <row r="78" spans="2:10" x14ac:dyDescent="0.2">
      <c r="B78" s="263" t="str">
        <f>CONCATENATE(C99,"     ",D99)</f>
        <v xml:space="preserve">     </v>
      </c>
      <c r="C78" s="649" t="s">
        <v>282</v>
      </c>
      <c r="D78" s="650"/>
      <c r="E78" s="106">
        <f>E74+E77</f>
        <v>246000</v>
      </c>
      <c r="G78" s="646"/>
      <c r="H78" s="646"/>
      <c r="I78" s="646"/>
      <c r="J78" s="646"/>
    </row>
    <row r="79" spans="2:10" x14ac:dyDescent="0.2">
      <c r="B79" s="263" t="str">
        <f>CONCATENATE(C100,"     ",D100)</f>
        <v xml:space="preserve">     </v>
      </c>
      <c r="C79" s="152"/>
      <c r="D79" s="90" t="s">
        <v>94</v>
      </c>
      <c r="E79" s="106">
        <f>IF(E78-E63&gt;0,E78-E63,0)</f>
        <v>0</v>
      </c>
      <c r="F79" s="151"/>
      <c r="G79" s="646"/>
      <c r="H79" s="646"/>
      <c r="I79" s="646"/>
      <c r="J79" s="646"/>
    </row>
    <row r="80" spans="2:10" x14ac:dyDescent="0.2">
      <c r="B80" s="90"/>
      <c r="C80" s="262" t="s">
        <v>283</v>
      </c>
      <c r="D80" s="291">
        <f>inputOth!$E$28</f>
        <v>5.4000000000000003E-3</v>
      </c>
      <c r="E80" s="106">
        <f>ROUND(IF(D80&gt;0,($E$79*D80),0),0)</f>
        <v>0</v>
      </c>
      <c r="F80" s="238" t="str">
        <f>IF(E74/0.95-E74&lt;E77,"Exceeds 5%","")</f>
        <v/>
      </c>
    </row>
    <row r="81" spans="2:5" x14ac:dyDescent="0.2">
      <c r="B81" s="26"/>
      <c r="C81" s="631" t="str">
        <f>CONCATENATE("Amount of  ",$E$1-1," Ad Valorem Tax")</f>
        <v>Amount of  2023 Ad Valorem Tax</v>
      </c>
      <c r="D81" s="651"/>
      <c r="E81" s="106">
        <f>E79+E80</f>
        <v>0</v>
      </c>
    </row>
    <row r="82" spans="2:5" x14ac:dyDescent="0.2">
      <c r="B82" s="26"/>
      <c r="C82" s="125"/>
      <c r="D82" s="26"/>
      <c r="E82" s="125"/>
    </row>
    <row r="83" spans="2:5" x14ac:dyDescent="0.2">
      <c r="B83" s="417" t="s">
        <v>341</v>
      </c>
      <c r="C83" s="396"/>
      <c r="D83" s="341"/>
      <c r="E83" s="403"/>
    </row>
    <row r="84" spans="2:5" x14ac:dyDescent="0.2">
      <c r="B84" s="126"/>
      <c r="C84" s="125"/>
      <c r="D84" s="26"/>
      <c r="E84" s="404"/>
    </row>
    <row r="85" spans="2:5" x14ac:dyDescent="0.2">
      <c r="B85" s="397"/>
      <c r="C85" s="402"/>
      <c r="D85" s="44"/>
      <c r="E85" s="405"/>
    </row>
    <row r="86" spans="2:5" x14ac:dyDescent="0.2">
      <c r="B86" s="26"/>
      <c r="C86" s="125"/>
      <c r="D86" s="26"/>
      <c r="E86" s="125"/>
    </row>
    <row r="87" spans="2:5" x14ac:dyDescent="0.2">
      <c r="B87" s="125" t="s">
        <v>133</v>
      </c>
      <c r="C87" s="362">
        <v>16</v>
      </c>
      <c r="D87" s="26"/>
      <c r="E87" s="26"/>
    </row>
    <row r="95" spans="2:5" hidden="1" x14ac:dyDescent="0.2"/>
    <row r="96" spans="2:5" hidden="1" x14ac:dyDescent="0.2"/>
    <row r="97" spans="3:4" hidden="1" x14ac:dyDescent="0.2">
      <c r="C97" s="23" t="str">
        <f>IF(C33&gt;C35,"See Tab A","")</f>
        <v/>
      </c>
      <c r="D97" s="23" t="str">
        <f>IF(D33&gt;D35,"See Tab C","")</f>
        <v/>
      </c>
    </row>
    <row r="98" spans="3:4" hidden="1" x14ac:dyDescent="0.2">
      <c r="C98" s="23" t="str">
        <f>IF(C34&lt;0,"See Tab B","")</f>
        <v/>
      </c>
      <c r="D98" s="23" t="str">
        <f>IF(D34&lt;0,"See Tab D","")</f>
        <v/>
      </c>
    </row>
    <row r="99" spans="3:4" x14ac:dyDescent="0.2">
      <c r="C99" s="23" t="str">
        <f>IF(C74&gt;C76,"See Tab A","")</f>
        <v/>
      </c>
      <c r="D99" s="23" t="str">
        <f>IF(D74&gt;D76,"See Tab C","")</f>
        <v/>
      </c>
    </row>
    <row r="100" spans="3:4" x14ac:dyDescent="0.2">
      <c r="C100" s="23" t="str">
        <f>IF(C75&lt;0,"See Tab B","")</f>
        <v/>
      </c>
      <c r="D100" s="23" t="str">
        <f>IF(D75&lt;0,"See Tab D","")</f>
        <v/>
      </c>
    </row>
  </sheetData>
  <mergeCells count="18">
    <mergeCell ref="G10:J10"/>
    <mergeCell ref="G17:J17"/>
    <mergeCell ref="G50:J50"/>
    <mergeCell ref="G57:J57"/>
    <mergeCell ref="C81:D81"/>
    <mergeCell ref="C40:D40"/>
    <mergeCell ref="C36:D36"/>
    <mergeCell ref="C37:D37"/>
    <mergeCell ref="C77:D77"/>
    <mergeCell ref="C78:D78"/>
    <mergeCell ref="G77:J79"/>
    <mergeCell ref="G27:J28"/>
    <mergeCell ref="G35:I36"/>
    <mergeCell ref="J35:J36"/>
    <mergeCell ref="G37:J39"/>
    <mergeCell ref="G67:J68"/>
    <mergeCell ref="G75:I76"/>
    <mergeCell ref="J75:J76"/>
  </mergeCells>
  <phoneticPr fontId="0" type="noConversion"/>
  <conditionalFormatting sqref="E72">
    <cfRule type="cellIs" dxfId="171" priority="13" stopIfTrue="1" operator="greaterThan">
      <formula>$E$74*0.1</formula>
    </cfRule>
  </conditionalFormatting>
  <conditionalFormatting sqref="E77">
    <cfRule type="cellIs" dxfId="170" priority="14" stopIfTrue="1" operator="greaterThan">
      <formula>$E$74/0.95-$E$74</formula>
    </cfRule>
  </conditionalFormatting>
  <conditionalFormatting sqref="E36">
    <cfRule type="cellIs" dxfId="169" priority="15" stopIfTrue="1" operator="greaterThan">
      <formula>$E$33/0.95-$E$33</formula>
    </cfRule>
  </conditionalFormatting>
  <conditionalFormatting sqref="E31">
    <cfRule type="cellIs" dxfId="168" priority="16" stopIfTrue="1" operator="greaterThan">
      <formula>$E$33*0.1</formula>
    </cfRule>
  </conditionalFormatting>
  <conditionalFormatting sqref="C72">
    <cfRule type="cellIs" dxfId="167" priority="20" stopIfTrue="1" operator="greaterThan">
      <formula>$C$74*0.1</formula>
    </cfRule>
  </conditionalFormatting>
  <conditionalFormatting sqref="D72">
    <cfRule type="cellIs" dxfId="166" priority="21" stopIfTrue="1" operator="greaterThan">
      <formula>$D$74*0.1</formula>
    </cfRule>
  </conditionalFormatting>
  <conditionalFormatting sqref="E60">
    <cfRule type="cellIs" dxfId="165" priority="22" stopIfTrue="1" operator="greaterThan">
      <formula>$E$62*0.1+E81</formula>
    </cfRule>
  </conditionalFormatting>
  <conditionalFormatting sqref="C60">
    <cfRule type="cellIs" dxfId="164" priority="23" stopIfTrue="1" operator="greaterThan">
      <formula>$C$62*0.1</formula>
    </cfRule>
  </conditionalFormatting>
  <conditionalFormatting sqref="D60">
    <cfRule type="cellIs" dxfId="163" priority="24" stopIfTrue="1" operator="greaterThan">
      <formula>$D$62*0.1</formula>
    </cfRule>
  </conditionalFormatting>
  <conditionalFormatting sqref="C31">
    <cfRule type="cellIs" dxfId="162" priority="27" stopIfTrue="1" operator="greaterThan">
      <formula>$C$33*0.1</formula>
    </cfRule>
  </conditionalFormatting>
  <conditionalFormatting sqref="D31">
    <cfRule type="cellIs" dxfId="161" priority="28" stopIfTrue="1" operator="greaterThan">
      <formula>$D$33*0.1</formula>
    </cfRule>
  </conditionalFormatting>
  <conditionalFormatting sqref="E20">
    <cfRule type="cellIs" dxfId="160" priority="29" stopIfTrue="1" operator="greaterThan">
      <formula>$E$22*0.1+E40</formula>
    </cfRule>
  </conditionalFormatting>
  <conditionalFormatting sqref="C20">
    <cfRule type="cellIs" dxfId="159" priority="30" stopIfTrue="1" operator="greaterThan">
      <formula>$C$22*0.1</formula>
    </cfRule>
  </conditionalFormatting>
  <conditionalFormatting sqref="D20">
    <cfRule type="cellIs" dxfId="158" priority="31" stopIfTrue="1" operator="greaterThan">
      <formula>$D$22*0.1</formula>
    </cfRule>
  </conditionalFormatting>
  <conditionalFormatting sqref="J75">
    <cfRule type="containsText" dxfId="157" priority="10" operator="containsText" text="Yes">
      <formula>NOT(ISERROR(SEARCH("Yes",J75)))</formula>
    </cfRule>
  </conditionalFormatting>
  <conditionalFormatting sqref="J35">
    <cfRule type="containsText" dxfId="156" priority="9" operator="containsText" text="Yes">
      <formula>NOT(ISERROR(SEARCH("Yes",J35)))</formula>
    </cfRule>
  </conditionalFormatting>
  <conditionalFormatting sqref="C33">
    <cfRule type="cellIs" dxfId="155" priority="6" stopIfTrue="1" operator="greaterThan">
      <formula>$C$34</formula>
    </cfRule>
  </conditionalFormatting>
  <conditionalFormatting sqref="D33">
    <cfRule type="cellIs" dxfId="154" priority="5" stopIfTrue="1" operator="greaterThan">
      <formula>$D$34</formula>
    </cfRule>
  </conditionalFormatting>
  <conditionalFormatting sqref="C74">
    <cfRule type="cellIs" dxfId="153" priority="7" stopIfTrue="1" operator="greaterThan">
      <formula>$C$76</formula>
    </cfRule>
  </conditionalFormatting>
  <conditionalFormatting sqref="D74">
    <cfRule type="cellIs" dxfId="152" priority="8" stopIfTrue="1" operator="greaterThan">
      <formula>$D$76</formula>
    </cfRule>
  </conditionalFormatting>
  <conditionalFormatting sqref="C34">
    <cfRule type="cellIs" dxfId="151" priority="1" stopIfTrue="1" operator="lessThan">
      <formula>0</formula>
    </cfRule>
  </conditionalFormatting>
  <conditionalFormatting sqref="D34">
    <cfRule type="cellIs" dxfId="150" priority="2" stopIfTrue="1" operator="lessThan">
      <formula>0</formula>
    </cfRule>
  </conditionalFormatting>
  <conditionalFormatting sqref="C75">
    <cfRule type="cellIs" dxfId="149" priority="3" stopIfTrue="1" operator="lessThan">
      <formula>0</formula>
    </cfRule>
  </conditionalFormatting>
  <conditionalFormatting sqref="D75">
    <cfRule type="cellIs" dxfId="148" priority="4" stopIfTrue="1" operator="lessThan">
      <formula>0</formula>
    </cfRule>
  </conditionalFormatting>
  <pageMargins left="1.1200000000000001" right="0.5" top="0.74" bottom="0.34" header="0.5" footer="0"/>
  <pageSetup scale="51" orientation="portrait" blackAndWhite="1" r:id="rId1"/>
  <headerFooter alignWithMargins="0">
    <oddHeader xml:space="preserve">&amp;RState of Kansas
County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pageSetUpPr fitToPage="1"/>
  </sheetPr>
  <dimension ref="B1:K97"/>
  <sheetViews>
    <sheetView zoomScaleNormal="100" workbookViewId="0">
      <selection activeCell="B2" sqref="B2"/>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8.88671875" style="23"/>
    <col min="7" max="7" width="10.21875" style="23" customWidth="1"/>
    <col min="8" max="8" width="8.88671875" style="23"/>
    <col min="9" max="9" width="5.88671875" style="23" customWidth="1"/>
    <col min="10" max="10" width="10" style="23" customWidth="1"/>
    <col min="11" max="16384" width="8.88671875" style="23"/>
  </cols>
  <sheetData>
    <row r="1" spans="2:10" x14ac:dyDescent="0.2">
      <c r="B1" s="57">
        <f>inputPrYr!C4</f>
        <v>0</v>
      </c>
      <c r="C1" s="26"/>
      <c r="D1" s="26"/>
      <c r="E1" s="125">
        <f>inputPrYr!C5</f>
        <v>2024</v>
      </c>
    </row>
    <row r="2" spans="2:10" x14ac:dyDescent="0.2">
      <c r="B2" s="64"/>
      <c r="C2" s="161"/>
      <c r="D2" s="161"/>
      <c r="E2" s="162"/>
    </row>
    <row r="3" spans="2:10" x14ac:dyDescent="0.2">
      <c r="B3" s="332" t="s">
        <v>172</v>
      </c>
      <c r="C3" s="155"/>
      <c r="D3" s="155"/>
      <c r="E3" s="155"/>
    </row>
    <row r="4" spans="2:10" x14ac:dyDescent="0.2">
      <c r="B4" s="25" t="s">
        <v>80</v>
      </c>
      <c r="C4" s="333" t="s">
        <v>306</v>
      </c>
      <c r="D4" s="334" t="s">
        <v>307</v>
      </c>
      <c r="E4" s="80" t="s">
        <v>308</v>
      </c>
    </row>
    <row r="5" spans="2:10" x14ac:dyDescent="0.2">
      <c r="B5" s="57" t="str">
        <f>inputPrYr!B40</f>
        <v>Title III</v>
      </c>
      <c r="C5" s="231" t="str">
        <f>CONCATENATE("Actual for ",E1-2,"")</f>
        <v>Actual for 2022</v>
      </c>
      <c r="D5" s="231" t="str">
        <f>CONCATENATE("Estimate for ",E1-1,"")</f>
        <v>Estimate for 2023</v>
      </c>
      <c r="E5" s="136" t="str">
        <f>CONCATENATE("Year for ",E1,"")</f>
        <v>Year for 2024</v>
      </c>
    </row>
    <row r="6" spans="2:10" x14ac:dyDescent="0.2">
      <c r="B6" s="60" t="s">
        <v>182</v>
      </c>
      <c r="C6" s="229">
        <v>5887</v>
      </c>
      <c r="D6" s="232">
        <f>C34</f>
        <v>2329</v>
      </c>
      <c r="E6" s="106">
        <f>D34</f>
        <v>2329</v>
      </c>
    </row>
    <row r="7" spans="2:10" x14ac:dyDescent="0.2">
      <c r="B7" s="128" t="s">
        <v>184</v>
      </c>
      <c r="C7" s="139"/>
      <c r="D7" s="139"/>
      <c r="E7" s="50"/>
    </row>
    <row r="8" spans="2:10" x14ac:dyDescent="0.2">
      <c r="B8" s="60" t="s">
        <v>1039</v>
      </c>
      <c r="C8" s="229">
        <v>164124</v>
      </c>
      <c r="D8" s="229">
        <v>167000</v>
      </c>
      <c r="E8" s="42">
        <v>151000</v>
      </c>
    </row>
    <row r="9" spans="2:10" x14ac:dyDescent="0.2">
      <c r="B9" s="60" t="s">
        <v>1040</v>
      </c>
      <c r="C9" s="229">
        <v>97884</v>
      </c>
      <c r="D9" s="229">
        <v>100000</v>
      </c>
      <c r="E9" s="42">
        <v>97000</v>
      </c>
      <c r="G9" s="652" t="str">
        <f>CONCATENATE("Desired Carryover Into ",E1+1,"")</f>
        <v>Desired Carryover Into 2025</v>
      </c>
      <c r="H9" s="653"/>
      <c r="I9" s="653"/>
      <c r="J9" s="654"/>
    </row>
    <row r="10" spans="2:10" x14ac:dyDescent="0.2">
      <c r="B10" s="60" t="s">
        <v>1041</v>
      </c>
      <c r="C10" s="229">
        <v>250481</v>
      </c>
      <c r="D10" s="229">
        <v>366000</v>
      </c>
      <c r="E10" s="42">
        <v>450898</v>
      </c>
      <c r="G10" s="292"/>
      <c r="H10" s="293"/>
      <c r="I10" s="294"/>
      <c r="J10" s="295"/>
    </row>
    <row r="11" spans="2:10" x14ac:dyDescent="0.2">
      <c r="B11" s="60" t="s">
        <v>1031</v>
      </c>
      <c r="C11" s="229">
        <v>3367</v>
      </c>
      <c r="D11" s="229"/>
      <c r="E11" s="42"/>
      <c r="G11" s="296" t="s">
        <v>284</v>
      </c>
      <c r="H11" s="294"/>
      <c r="I11" s="294"/>
      <c r="J11" s="297">
        <v>0</v>
      </c>
    </row>
    <row r="12" spans="2:10" x14ac:dyDescent="0.2">
      <c r="B12" s="139" t="s">
        <v>38</v>
      </c>
      <c r="C12" s="229"/>
      <c r="D12" s="229"/>
      <c r="E12" s="42"/>
      <c r="G12" s="292" t="s">
        <v>285</v>
      </c>
      <c r="H12" s="293"/>
      <c r="I12" s="293"/>
      <c r="J12" s="298" t="str">
        <f>IF(J11=0,"",ROUND((J11+E40-G24)/inputOth!E6*1000,3)-G29)</f>
        <v/>
      </c>
    </row>
    <row r="13" spans="2:10" x14ac:dyDescent="0.2">
      <c r="B13" s="137"/>
      <c r="C13" s="229"/>
      <c r="D13" s="229"/>
      <c r="E13" s="42"/>
      <c r="G13" s="299" t="str">
        <f>CONCATENATE("",E1," Tot Exp/Non-Appr Must Be:")</f>
        <v>2024 Tot Exp/Non-Appr Must Be:</v>
      </c>
      <c r="H13" s="300"/>
      <c r="I13" s="301"/>
      <c r="J13" s="302">
        <f>IF(J11&gt;0,IF(E37&lt;E23,IF(J11=G24,E37,((J11-G24)*(1-D39))+E23),E37+(J11-G24)),0)</f>
        <v>0</v>
      </c>
    </row>
    <row r="14" spans="2:10" x14ac:dyDescent="0.2">
      <c r="B14" s="137"/>
      <c r="C14" s="229"/>
      <c r="D14" s="229"/>
      <c r="E14" s="42"/>
      <c r="G14" s="303" t="s">
        <v>305</v>
      </c>
      <c r="H14" s="304"/>
      <c r="I14" s="304"/>
      <c r="J14" s="305">
        <f>IF(J11&gt;0,J13-E37,0)</f>
        <v>0</v>
      </c>
    </row>
    <row r="15" spans="2:10" x14ac:dyDescent="0.25">
      <c r="B15" s="150"/>
      <c r="C15" s="229"/>
      <c r="D15" s="229"/>
      <c r="E15" s="42"/>
      <c r="G15" s="1"/>
      <c r="H15" s="1"/>
      <c r="I15" s="1"/>
      <c r="J15" s="1"/>
    </row>
    <row r="16" spans="2:10" x14ac:dyDescent="0.2">
      <c r="B16" s="150"/>
      <c r="C16" s="229"/>
      <c r="D16" s="229"/>
      <c r="E16" s="42"/>
      <c r="G16" s="652" t="str">
        <f>CONCATENATE("Projected Carryover Into ",E1+1,"")</f>
        <v>Projected Carryover Into 2025</v>
      </c>
      <c r="H16" s="658"/>
      <c r="I16" s="658"/>
      <c r="J16" s="659"/>
    </row>
    <row r="17" spans="2:11" x14ac:dyDescent="0.2">
      <c r="B17" s="150"/>
      <c r="C17" s="229"/>
      <c r="D17" s="229"/>
      <c r="E17" s="42"/>
      <c r="G17" s="292"/>
      <c r="H17" s="294"/>
      <c r="I17" s="294"/>
      <c r="J17" s="311"/>
    </row>
    <row r="18" spans="2:11" x14ac:dyDescent="0.2">
      <c r="B18" s="142" t="s">
        <v>87</v>
      </c>
      <c r="C18" s="229"/>
      <c r="D18" s="229"/>
      <c r="E18" s="42"/>
      <c r="G18" s="312">
        <f>D34</f>
        <v>2329</v>
      </c>
      <c r="H18" s="310" t="str">
        <f>CONCATENATE("",E1-1," Ending Cash Balance (est.)")</f>
        <v>2023 Ending Cash Balance (est.)</v>
      </c>
      <c r="I18" s="313"/>
      <c r="J18" s="311"/>
    </row>
    <row r="19" spans="2:11" x14ac:dyDescent="0.2">
      <c r="B19" s="143" t="s">
        <v>40</v>
      </c>
      <c r="C19" s="229"/>
      <c r="D19" s="229"/>
      <c r="E19" s="42"/>
      <c r="G19" s="312">
        <f>E22</f>
        <v>698898</v>
      </c>
      <c r="H19" s="294" t="str">
        <f>CONCATENATE("",E1," Non-AV Receipts (est.)")</f>
        <v>2024 Non-AV Receipts (est.)</v>
      </c>
      <c r="I19" s="313"/>
      <c r="J19" s="311"/>
    </row>
    <row r="20" spans="2:11" x14ac:dyDescent="0.2">
      <c r="B20" s="143" t="s">
        <v>38</v>
      </c>
      <c r="C20" s="229"/>
      <c r="D20" s="229"/>
      <c r="E20" s="42"/>
      <c r="G20" s="314">
        <f>IF(E39&gt;0,E38,E40)</f>
        <v>0</v>
      </c>
      <c r="H20" s="294" t="str">
        <f>CONCATENATE("",E1," Ad Valorem Tax (est.)")</f>
        <v>2024 Ad Valorem Tax (est.)</v>
      </c>
      <c r="I20" s="313"/>
      <c r="J20" s="311"/>
      <c r="K20" s="308" t="str">
        <f>IF(G20=E40,"","Note: Does not include Delinquent Taxes")</f>
        <v/>
      </c>
    </row>
    <row r="21" spans="2:11" x14ac:dyDescent="0.2">
      <c r="B21" s="143" t="s">
        <v>39</v>
      </c>
      <c r="C21" s="230" t="str">
        <f>IF(C22*0.1&lt;C20,"Exceed 10% Rule","")</f>
        <v/>
      </c>
      <c r="D21" s="230" t="str">
        <f>IF(D22*0.1&lt;D20,"Exceed 10% Rule","")</f>
        <v/>
      </c>
      <c r="E21" s="170" t="str">
        <f>IF(E22*0.1+E40&lt;E20,"Exceed 10% Rule","")</f>
        <v/>
      </c>
      <c r="G21" s="312">
        <f>SUM(G18:G20)</f>
        <v>701227</v>
      </c>
      <c r="H21" s="294" t="str">
        <f>CONCATENATE("Total ",E1," Resources Available")</f>
        <v>Total 2024 Resources Available</v>
      </c>
      <c r="I21" s="313"/>
      <c r="J21" s="311"/>
    </row>
    <row r="22" spans="2:11" x14ac:dyDescent="0.2">
      <c r="B22" s="145" t="s">
        <v>88</v>
      </c>
      <c r="C22" s="457">
        <f>SUM(C8:C20)</f>
        <v>515856</v>
      </c>
      <c r="D22" s="457">
        <f>SUM(D8:D20)</f>
        <v>633000</v>
      </c>
      <c r="E22" s="457">
        <f>SUM(E8:E20)</f>
        <v>698898</v>
      </c>
      <c r="G22" s="315"/>
      <c r="H22" s="294"/>
      <c r="I22" s="294"/>
      <c r="J22" s="311"/>
    </row>
    <row r="23" spans="2:11" x14ac:dyDescent="0.25">
      <c r="B23" s="145" t="s">
        <v>89</v>
      </c>
      <c r="C23" s="457">
        <f>C6+C22</f>
        <v>521743</v>
      </c>
      <c r="D23" s="457">
        <f>D6+D22</f>
        <v>635329</v>
      </c>
      <c r="E23" s="457">
        <f>E6+E22</f>
        <v>701227</v>
      </c>
      <c r="G23" s="314">
        <f>ROUND(C33*0.05+C33,0)</f>
        <v>545385</v>
      </c>
      <c r="H23" s="294" t="str">
        <f>CONCATENATE("Less ",E1-2," Expenditures + 5%")</f>
        <v>Less 2022 Expenditures + 5%</v>
      </c>
      <c r="I23" s="313"/>
      <c r="J23" s="316"/>
    </row>
    <row r="24" spans="2:11" x14ac:dyDescent="0.2">
      <c r="B24" s="60" t="s">
        <v>92</v>
      </c>
      <c r="C24" s="143"/>
      <c r="D24" s="143"/>
      <c r="E24" s="38"/>
      <c r="G24" s="317">
        <f>G21-G23</f>
        <v>155842</v>
      </c>
      <c r="H24" s="318" t="str">
        <f>CONCATENATE("Projected ",E1+1," carryover (est.)")</f>
        <v>Projected 2025 carryover (est.)</v>
      </c>
      <c r="I24" s="319"/>
      <c r="J24" s="320"/>
    </row>
    <row r="25" spans="2:11" x14ac:dyDescent="0.25">
      <c r="B25" s="150" t="s">
        <v>993</v>
      </c>
      <c r="C25" s="229">
        <v>214721</v>
      </c>
      <c r="D25" s="229">
        <v>252000</v>
      </c>
      <c r="E25" s="42">
        <v>268398</v>
      </c>
      <c r="G25" s="1"/>
      <c r="H25" s="1"/>
      <c r="I25" s="1"/>
      <c r="J25" s="1"/>
    </row>
    <row r="26" spans="2:11" x14ac:dyDescent="0.2">
      <c r="B26" s="150" t="s">
        <v>1042</v>
      </c>
      <c r="C26" s="229">
        <v>41525</v>
      </c>
      <c r="D26" s="229">
        <v>55000</v>
      </c>
      <c r="E26" s="42">
        <v>64150</v>
      </c>
      <c r="G26" s="633" t="s">
        <v>543</v>
      </c>
      <c r="H26" s="634"/>
      <c r="I26" s="634"/>
      <c r="J26" s="635"/>
    </row>
    <row r="27" spans="2:11" x14ac:dyDescent="0.2">
      <c r="B27" s="150" t="s">
        <v>1007</v>
      </c>
      <c r="C27" s="229">
        <v>73214</v>
      </c>
      <c r="D27" s="229">
        <v>284000</v>
      </c>
      <c r="E27" s="42">
        <v>321057</v>
      </c>
      <c r="G27" s="636"/>
      <c r="H27" s="637"/>
      <c r="I27" s="637"/>
      <c r="J27" s="638"/>
    </row>
    <row r="28" spans="2:11" x14ac:dyDescent="0.2">
      <c r="B28" s="150" t="s">
        <v>998</v>
      </c>
      <c r="C28" s="229">
        <v>30000</v>
      </c>
      <c r="D28" s="229">
        <v>42000</v>
      </c>
      <c r="E28" s="42">
        <v>47500</v>
      </c>
      <c r="G28" s="504" t="str">
        <f>'Budget Hearing Notice'!H37</f>
        <v xml:space="preserve">  </v>
      </c>
      <c r="H28" s="310" t="str">
        <f>CONCATENATE("",E1," Estimated Fund Mill Rate")</f>
        <v>2024 Estimated Fund Mill Rate</v>
      </c>
      <c r="I28" s="505"/>
      <c r="J28" s="506"/>
    </row>
    <row r="29" spans="2:11" x14ac:dyDescent="0.2">
      <c r="B29" s="150" t="s">
        <v>1043</v>
      </c>
      <c r="C29" s="229">
        <v>159954</v>
      </c>
      <c r="D29" s="229"/>
      <c r="E29" s="42"/>
      <c r="G29" s="507">
        <f>'Budget Hearing Notice'!E37</f>
        <v>0</v>
      </c>
      <c r="H29" s="310" t="str">
        <f>CONCATENATE("",E1-1," Fund Mill Rate")</f>
        <v>2023 Fund Mill Rate</v>
      </c>
      <c r="I29" s="505"/>
      <c r="J29" s="506"/>
    </row>
    <row r="30" spans="2:11" x14ac:dyDescent="0.2">
      <c r="B30" s="143" t="str">
        <f>CONCATENATE("Cash Forward (",E1," column)")</f>
        <v>Cash Forward (2024 column)</v>
      </c>
      <c r="C30" s="229"/>
      <c r="D30" s="229"/>
      <c r="E30" s="42"/>
      <c r="G30" s="508">
        <f>'Budget Hearing Notice'!H62</f>
        <v>36.917000000000002</v>
      </c>
      <c r="H30" s="509" t="s">
        <v>544</v>
      </c>
      <c r="I30" s="505"/>
      <c r="J30" s="506"/>
    </row>
    <row r="31" spans="2:11" x14ac:dyDescent="0.2">
      <c r="B31" s="143" t="s">
        <v>38</v>
      </c>
      <c r="C31" s="229"/>
      <c r="D31" s="229"/>
      <c r="E31" s="42"/>
      <c r="G31" s="504">
        <f>'Budget Hearing Notice'!H61</f>
        <v>36.917000000000002</v>
      </c>
      <c r="H31" s="310" t="str">
        <f>CONCATENATE(E1," Estimated Total Mill Rate")</f>
        <v>2024 Estimated Total Mill Rate</v>
      </c>
      <c r="I31" s="505"/>
      <c r="J31" s="506"/>
    </row>
    <row r="32" spans="2:11" x14ac:dyDescent="0.2">
      <c r="B32" s="143" t="s">
        <v>41</v>
      </c>
      <c r="C32" s="230" t="str">
        <f>IF(C33*0.1&lt;C31,"Exceed 10% Rule","")</f>
        <v/>
      </c>
      <c r="D32" s="230" t="str">
        <f>IF(D33*0.1&lt;D31,"Exceed 10% Rule","")</f>
        <v/>
      </c>
      <c r="E32" s="170" t="str">
        <f>IF(E33*0.1&lt;E31,"Exceed 10% Rule","")</f>
        <v/>
      </c>
      <c r="G32" s="510">
        <f>'Budget Hearing Notice'!E61</f>
        <v>36.946999999999996</v>
      </c>
      <c r="H32" s="310" t="str">
        <f>CONCATENATE(E1-1," Total Mill Rate")</f>
        <v>2023 Total Mill Rate</v>
      </c>
      <c r="I32" s="505"/>
      <c r="J32" s="506"/>
    </row>
    <row r="33" spans="2:10" x14ac:dyDescent="0.2">
      <c r="B33" s="145" t="s">
        <v>93</v>
      </c>
      <c r="C33" s="457">
        <f>SUM(C25:C31)</f>
        <v>519414</v>
      </c>
      <c r="D33" s="457">
        <f>SUM(D25:D31)</f>
        <v>633000</v>
      </c>
      <c r="E33" s="457">
        <f>SUM(E25:E31)</f>
        <v>701105</v>
      </c>
      <c r="G33" s="321"/>
      <c r="H33" s="293"/>
      <c r="I33" s="293"/>
      <c r="J33" s="323"/>
    </row>
    <row r="34" spans="2:10" x14ac:dyDescent="0.2">
      <c r="B34" s="60" t="s">
        <v>183</v>
      </c>
      <c r="C34" s="106">
        <f>C23-C33</f>
        <v>2329</v>
      </c>
      <c r="D34" s="106">
        <f>D23-D33</f>
        <v>2329</v>
      </c>
      <c r="E34" s="165" t="s">
        <v>66</v>
      </c>
      <c r="G34" s="639" t="s">
        <v>545</v>
      </c>
      <c r="H34" s="640"/>
      <c r="I34" s="640"/>
      <c r="J34" s="643" t="str">
        <f>IF(G31&gt;G30, "Yes", "No")</f>
        <v>No</v>
      </c>
    </row>
    <row r="35" spans="2:10" x14ac:dyDescent="0.2">
      <c r="B35" s="135" t="str">
        <f>CONCATENATE("",E1-2,"/",E1-1,"/",E1," Budget Authority Amount:")</f>
        <v>2022/2023/2024 Budget Authority Amount:</v>
      </c>
      <c r="C35" s="167">
        <f>inputOth!B56</f>
        <v>562200</v>
      </c>
      <c r="D35" s="167">
        <v>633000</v>
      </c>
      <c r="E35" s="106">
        <f>E33</f>
        <v>701105</v>
      </c>
      <c r="G35" s="641"/>
      <c r="H35" s="642"/>
      <c r="I35" s="642"/>
      <c r="J35" s="644"/>
    </row>
    <row r="36" spans="2:10" x14ac:dyDescent="0.2">
      <c r="B36" s="125"/>
      <c r="C36" s="647" t="s">
        <v>281</v>
      </c>
      <c r="D36" s="648"/>
      <c r="E36" s="42"/>
      <c r="G36" s="645" t="str">
        <f>IF(J34="Yes", "Follow procedure prescribed by KSA 79-2988 to exceed the Revenue Neutral Rate.", " ")</f>
        <v xml:space="preserve"> </v>
      </c>
      <c r="H36" s="645"/>
      <c r="I36" s="645"/>
      <c r="J36" s="645"/>
    </row>
    <row r="37" spans="2:10" x14ac:dyDescent="0.2">
      <c r="B37" s="335" t="str">
        <f>CONCATENATE(C94,"     ",D94)</f>
        <v xml:space="preserve">     </v>
      </c>
      <c r="C37" s="649" t="s">
        <v>282</v>
      </c>
      <c r="D37" s="650"/>
      <c r="E37" s="106">
        <f>E33+E36</f>
        <v>701105</v>
      </c>
      <c r="F37" s="151"/>
      <c r="G37" s="646"/>
      <c r="H37" s="646"/>
      <c r="I37" s="646"/>
      <c r="J37" s="646"/>
    </row>
    <row r="38" spans="2:10" x14ac:dyDescent="0.2">
      <c r="B38" s="335" t="str">
        <f>CONCATENATE(C95,"      ",D95)</f>
        <v xml:space="preserve">      </v>
      </c>
      <c r="C38" s="152"/>
      <c r="D38" s="90" t="s">
        <v>94</v>
      </c>
      <c r="E38" s="106">
        <f>IF(E37-E23&gt;0,E37-E23,0)</f>
        <v>0</v>
      </c>
      <c r="F38" s="238" t="str">
        <f>IF(E33/0.95-E33&lt;E36,"Exceeds 5%","")</f>
        <v/>
      </c>
      <c r="G38" s="646"/>
      <c r="H38" s="646"/>
      <c r="I38" s="646"/>
      <c r="J38" s="646"/>
    </row>
    <row r="39" spans="2:10" x14ac:dyDescent="0.25">
      <c r="B39" s="90"/>
      <c r="C39" s="262" t="s">
        <v>283</v>
      </c>
      <c r="D39" s="291">
        <f>inputOth!$E$28</f>
        <v>5.4000000000000003E-3</v>
      </c>
      <c r="E39" s="106">
        <f>ROUND(IF(D39&gt;0,(E38*D39),0),0)</f>
        <v>0</v>
      </c>
      <c r="G39" s="1"/>
      <c r="H39" s="1"/>
      <c r="I39" s="1"/>
      <c r="J39" s="1"/>
    </row>
    <row r="40" spans="2:10" x14ac:dyDescent="0.25">
      <c r="B40" s="26"/>
      <c r="C40" s="631" t="str">
        <f>CONCATENATE("Amount of  ",$E$1-1," Ad Valorem Tax")</f>
        <v>Amount of  2023 Ad Valorem Tax</v>
      </c>
      <c r="D40" s="651"/>
      <c r="E40" s="106">
        <f>E38+E39</f>
        <v>0</v>
      </c>
      <c r="G40" s="1"/>
      <c r="H40" s="1"/>
      <c r="I40" s="1"/>
      <c r="J40" s="1"/>
    </row>
    <row r="41" spans="2:10" x14ac:dyDescent="0.25">
      <c r="B41" s="26"/>
      <c r="C41" s="125"/>
      <c r="D41" s="26"/>
      <c r="E41" s="26"/>
      <c r="G41" s="1"/>
      <c r="H41" s="1"/>
      <c r="I41" s="1"/>
      <c r="J41" s="1"/>
    </row>
    <row r="42" spans="2:10" x14ac:dyDescent="0.25">
      <c r="B42" s="26"/>
      <c r="C42" s="125"/>
      <c r="D42" s="26"/>
      <c r="E42" s="26"/>
      <c r="G42" s="1"/>
      <c r="H42" s="1"/>
      <c r="I42" s="1"/>
      <c r="J42" s="1"/>
    </row>
    <row r="43" spans="2:10" x14ac:dyDescent="0.25">
      <c r="B43" s="26"/>
      <c r="C43" s="155"/>
      <c r="D43" s="155"/>
      <c r="E43" s="155"/>
      <c r="G43" s="1"/>
      <c r="H43" s="1"/>
      <c r="I43" s="1"/>
      <c r="J43" s="1"/>
    </row>
    <row r="44" spans="2:10" x14ac:dyDescent="0.25">
      <c r="B44" s="25" t="s">
        <v>80</v>
      </c>
      <c r="C44" s="333" t="str">
        <f t="shared" ref="C44:E45" si="0">C4</f>
        <v xml:space="preserve">Prior Year </v>
      </c>
      <c r="D44" s="334" t="str">
        <f t="shared" si="0"/>
        <v xml:space="preserve">Current Year </v>
      </c>
      <c r="E44" s="80" t="str">
        <f t="shared" si="0"/>
        <v xml:space="preserve">Proposed Budget </v>
      </c>
      <c r="G44" s="1"/>
      <c r="H44" s="1"/>
      <c r="I44" s="1"/>
      <c r="J44" s="1"/>
    </row>
    <row r="45" spans="2:10" x14ac:dyDescent="0.25">
      <c r="B45" s="247" t="str">
        <f>inputPrYr!$B$41</f>
        <v>Local Alcoholic Liquor</v>
      </c>
      <c r="C45" s="231" t="str">
        <f t="shared" si="0"/>
        <v>Actual for 2022</v>
      </c>
      <c r="D45" s="231" t="str">
        <f t="shared" si="0"/>
        <v>Estimate for 2023</v>
      </c>
      <c r="E45" s="104" t="str">
        <f t="shared" si="0"/>
        <v>Year for 2024</v>
      </c>
      <c r="G45" s="1"/>
      <c r="H45" s="1"/>
      <c r="I45" s="1"/>
      <c r="J45" s="1"/>
    </row>
    <row r="46" spans="2:10" x14ac:dyDescent="0.25">
      <c r="B46" s="60" t="s">
        <v>182</v>
      </c>
      <c r="C46" s="229">
        <v>42943</v>
      </c>
      <c r="D46" s="232">
        <f>C75</f>
        <v>52098</v>
      </c>
      <c r="E46" s="106">
        <f>D75</f>
        <v>32898</v>
      </c>
      <c r="G46" s="1"/>
      <c r="H46" s="1"/>
      <c r="I46" s="1"/>
      <c r="J46" s="1"/>
    </row>
    <row r="47" spans="2:10" x14ac:dyDescent="0.25">
      <c r="B47" s="137" t="s">
        <v>184</v>
      </c>
      <c r="C47" s="139"/>
      <c r="D47" s="139"/>
      <c r="E47" s="50"/>
      <c r="G47" s="1"/>
      <c r="H47" s="1"/>
      <c r="I47" s="1"/>
      <c r="J47" s="1"/>
    </row>
    <row r="48" spans="2:10" x14ac:dyDescent="0.25">
      <c r="B48" s="60" t="s">
        <v>81</v>
      </c>
      <c r="C48" s="229"/>
      <c r="D48" s="232"/>
      <c r="E48" s="165"/>
      <c r="G48" s="1"/>
      <c r="H48" s="1"/>
      <c r="I48" s="1"/>
      <c r="J48" s="1"/>
    </row>
    <row r="49" spans="2:11" x14ac:dyDescent="0.25">
      <c r="B49" s="60" t="s">
        <v>82</v>
      </c>
      <c r="C49" s="229"/>
      <c r="D49" s="229"/>
      <c r="E49" s="42"/>
      <c r="G49" s="1"/>
      <c r="H49" s="1"/>
      <c r="I49" s="1"/>
      <c r="J49" s="1"/>
    </row>
    <row r="50" spans="2:11" x14ac:dyDescent="0.25">
      <c r="B50" s="60" t="s">
        <v>83</v>
      </c>
      <c r="C50" s="229"/>
      <c r="D50" s="229"/>
      <c r="E50" s="42"/>
      <c r="G50" s="1"/>
      <c r="H50" s="1"/>
      <c r="I50" s="1"/>
      <c r="J50" s="1"/>
    </row>
    <row r="51" spans="2:11" x14ac:dyDescent="0.2">
      <c r="B51" s="60" t="s">
        <v>84</v>
      </c>
      <c r="C51" s="229"/>
      <c r="D51" s="229"/>
      <c r="E51" s="42"/>
      <c r="G51" s="652" t="str">
        <f>CONCATENATE("Desired Carryover Into ",E1+1,"")</f>
        <v>Desired Carryover Into 2025</v>
      </c>
      <c r="H51" s="653"/>
      <c r="I51" s="653"/>
      <c r="J51" s="654"/>
    </row>
    <row r="52" spans="2:11" x14ac:dyDescent="0.2">
      <c r="B52" s="139" t="s">
        <v>163</v>
      </c>
      <c r="C52" s="229"/>
      <c r="D52" s="229"/>
      <c r="E52" s="42"/>
      <c r="G52" s="292"/>
      <c r="H52" s="293"/>
      <c r="I52" s="294"/>
      <c r="J52" s="295"/>
    </row>
    <row r="53" spans="2:11" x14ac:dyDescent="0.2">
      <c r="B53" s="137" t="s">
        <v>335</v>
      </c>
      <c r="C53" s="229"/>
      <c r="D53" s="229"/>
      <c r="E53" s="42"/>
      <c r="G53" s="296" t="s">
        <v>284</v>
      </c>
      <c r="H53" s="294"/>
      <c r="I53" s="294"/>
      <c r="J53" s="297">
        <v>0</v>
      </c>
    </row>
    <row r="54" spans="2:11" x14ac:dyDescent="0.2">
      <c r="B54" s="137" t="s">
        <v>336</v>
      </c>
      <c r="C54" s="229"/>
      <c r="D54" s="229"/>
      <c r="E54" s="42"/>
      <c r="G54" s="292" t="s">
        <v>285</v>
      </c>
      <c r="H54" s="293"/>
      <c r="I54" s="293"/>
      <c r="J54" s="298" t="str">
        <f>IF(J53=0,"",ROUND((J53+E81-G66)/inputOth!E6*1000,3)-G71)</f>
        <v/>
      </c>
    </row>
    <row r="55" spans="2:11" x14ac:dyDescent="0.2">
      <c r="B55" s="150" t="s">
        <v>1044</v>
      </c>
      <c r="C55" s="229">
        <v>10155</v>
      </c>
      <c r="D55" s="229">
        <v>5000</v>
      </c>
      <c r="E55" s="42">
        <v>5000</v>
      </c>
      <c r="G55" s="299" t="str">
        <f>CONCATENATE("",E1," Tot Exp/Non-Appr Must Be:")</f>
        <v>2024 Tot Exp/Non-Appr Must Be:</v>
      </c>
      <c r="H55" s="300"/>
      <c r="I55" s="301"/>
      <c r="J55" s="302">
        <f>IF(J53&gt;0,IF(E78&lt;E63,IF(J53=G66,E78,((J53-G66)*(1-D80))+E63),E78+(J53-G66)),0)</f>
        <v>0</v>
      </c>
    </row>
    <row r="56" spans="2:11" x14ac:dyDescent="0.2">
      <c r="B56" s="150"/>
      <c r="C56" s="229"/>
      <c r="D56" s="229"/>
      <c r="E56" s="42"/>
      <c r="G56" s="303" t="s">
        <v>305</v>
      </c>
      <c r="H56" s="304"/>
      <c r="I56" s="304"/>
      <c r="J56" s="305">
        <f>IF(J53&gt;0,J55-E78,0)</f>
        <v>0</v>
      </c>
    </row>
    <row r="57" spans="2:11" x14ac:dyDescent="0.25">
      <c r="B57" s="150"/>
      <c r="C57" s="229"/>
      <c r="D57" s="229"/>
      <c r="E57" s="42"/>
      <c r="G57" s="1"/>
      <c r="H57" s="1"/>
      <c r="I57" s="1"/>
      <c r="J57" s="1"/>
    </row>
    <row r="58" spans="2:11" x14ac:dyDescent="0.2">
      <c r="B58" s="142" t="s">
        <v>87</v>
      </c>
      <c r="C58" s="229"/>
      <c r="D58" s="229"/>
      <c r="E58" s="42"/>
      <c r="G58" s="652" t="str">
        <f>CONCATENATE("Projected Carryover Into ",E1+1,"")</f>
        <v>Projected Carryover Into 2025</v>
      </c>
      <c r="H58" s="660"/>
      <c r="I58" s="660"/>
      <c r="J58" s="659"/>
    </row>
    <row r="59" spans="2:11" x14ac:dyDescent="0.25">
      <c r="B59" s="143" t="s">
        <v>40</v>
      </c>
      <c r="C59" s="229"/>
      <c r="D59" s="229"/>
      <c r="E59" s="42"/>
      <c r="G59" s="321"/>
      <c r="H59" s="293"/>
      <c r="I59" s="293"/>
      <c r="J59" s="316"/>
    </row>
    <row r="60" spans="2:11" x14ac:dyDescent="0.25">
      <c r="B60" s="143" t="s">
        <v>38</v>
      </c>
      <c r="C60" s="229"/>
      <c r="D60" s="229"/>
      <c r="E60" s="42"/>
      <c r="G60" s="312">
        <f>D75</f>
        <v>32898</v>
      </c>
      <c r="H60" s="310" t="str">
        <f>CONCATENATE("",E1-1," Ending Cash Balance (est.)")</f>
        <v>2023 Ending Cash Balance (est.)</v>
      </c>
      <c r="I60" s="313"/>
      <c r="J60" s="316"/>
    </row>
    <row r="61" spans="2:11" x14ac:dyDescent="0.25">
      <c r="B61" s="143" t="s">
        <v>39</v>
      </c>
      <c r="C61" s="230" t="str">
        <f>IF(C62*0.1&lt;C60,"Exceed 10% Rule","")</f>
        <v/>
      </c>
      <c r="D61" s="230" t="str">
        <f>IF(D62*0.1&lt;D60,"Exceed 10% Rule","")</f>
        <v/>
      </c>
      <c r="E61" s="170" t="str">
        <f>IF(E62*0.1+E81&lt;E60,"Exceed 10% Rule","")</f>
        <v/>
      </c>
      <c r="G61" s="312">
        <f>E62</f>
        <v>5000</v>
      </c>
      <c r="H61" s="294" t="str">
        <f>CONCATENATE("",E1," Non-AV Receipts (est.)")</f>
        <v>2024 Non-AV Receipts (est.)</v>
      </c>
      <c r="I61" s="313"/>
      <c r="J61" s="316"/>
    </row>
    <row r="62" spans="2:11" x14ac:dyDescent="0.25">
      <c r="B62" s="145" t="s">
        <v>88</v>
      </c>
      <c r="C62" s="457">
        <f>SUM(C48:C60)</f>
        <v>10155</v>
      </c>
      <c r="D62" s="457">
        <f>SUM(D48:D60)</f>
        <v>5000</v>
      </c>
      <c r="E62" s="457">
        <f>SUM(E48:E60)</f>
        <v>5000</v>
      </c>
      <c r="G62" s="314">
        <f>IF(E80&gt;0,E79,E81)</f>
        <v>0</v>
      </c>
      <c r="H62" s="294" t="str">
        <f>CONCATENATE("",E1," Ad Valorem Tax (est.)")</f>
        <v>2024 Ad Valorem Tax (est.)</v>
      </c>
      <c r="I62" s="313"/>
      <c r="J62" s="316"/>
      <c r="K62" s="308" t="str">
        <f>IF(G62=E81,"","Note: Does not include Delinquent Taxes")</f>
        <v/>
      </c>
    </row>
    <row r="63" spans="2:11" x14ac:dyDescent="0.25">
      <c r="B63" s="145" t="s">
        <v>89</v>
      </c>
      <c r="C63" s="457">
        <f>C46+C62</f>
        <v>53098</v>
      </c>
      <c r="D63" s="457">
        <f>D46+D62</f>
        <v>57098</v>
      </c>
      <c r="E63" s="457">
        <f>E46+E62</f>
        <v>37898</v>
      </c>
      <c r="G63" s="322">
        <f>SUM(G60:G62)</f>
        <v>37898</v>
      </c>
      <c r="H63" s="294" t="str">
        <f>CONCATENATE("Total ",E1," Resources Available")</f>
        <v>Total 2024 Resources Available</v>
      </c>
      <c r="I63" s="323"/>
      <c r="J63" s="316"/>
    </row>
    <row r="64" spans="2:11" x14ac:dyDescent="0.25">
      <c r="B64" s="60" t="s">
        <v>92</v>
      </c>
      <c r="C64" s="143"/>
      <c r="D64" s="143"/>
      <c r="E64" s="38"/>
      <c r="G64" s="324"/>
      <c r="H64" s="325"/>
      <c r="I64" s="293"/>
      <c r="J64" s="316"/>
    </row>
    <row r="65" spans="2:10" x14ac:dyDescent="0.25">
      <c r="B65" s="150" t="s">
        <v>1004</v>
      </c>
      <c r="C65" s="229">
        <v>1000</v>
      </c>
      <c r="D65" s="229">
        <v>10000</v>
      </c>
      <c r="E65" s="42">
        <v>10000</v>
      </c>
      <c r="G65" s="326">
        <f>ROUND(C74*0.05+C74,0)</f>
        <v>1050</v>
      </c>
      <c r="H65" s="294" t="str">
        <f>CONCATENATE("Less ",E1-2," Expenditures + 5%")</f>
        <v>Less 2022 Expenditures + 5%</v>
      </c>
      <c r="I65" s="323"/>
      <c r="J65" s="316"/>
    </row>
    <row r="66" spans="2:10" x14ac:dyDescent="0.25">
      <c r="B66" s="150" t="s">
        <v>1045</v>
      </c>
      <c r="C66" s="229"/>
      <c r="D66" s="229">
        <v>14200</v>
      </c>
      <c r="E66" s="42">
        <v>14200</v>
      </c>
      <c r="G66" s="327">
        <f>G63-G65</f>
        <v>36848</v>
      </c>
      <c r="H66" s="318" t="str">
        <f>CONCATENATE("Projected ",E1+1," carryover (est.)")</f>
        <v>Projected 2025 carryover (est.)</v>
      </c>
      <c r="I66" s="328"/>
      <c r="J66" s="329"/>
    </row>
    <row r="67" spans="2:10" x14ac:dyDescent="0.25">
      <c r="B67" s="150"/>
      <c r="C67" s="229"/>
      <c r="D67" s="229"/>
      <c r="E67" s="42"/>
      <c r="G67" s="1"/>
      <c r="H67" s="1"/>
      <c r="I67" s="1"/>
      <c r="J67" s="1"/>
    </row>
    <row r="68" spans="2:10" x14ac:dyDescent="0.2">
      <c r="B68" s="150"/>
      <c r="C68" s="229"/>
      <c r="D68" s="229"/>
      <c r="E68" s="42"/>
      <c r="G68" s="633" t="s">
        <v>543</v>
      </c>
      <c r="H68" s="634"/>
      <c r="I68" s="634"/>
      <c r="J68" s="635"/>
    </row>
    <row r="69" spans="2:10" x14ac:dyDescent="0.2">
      <c r="B69" s="150"/>
      <c r="C69" s="229"/>
      <c r="D69" s="229"/>
      <c r="E69" s="42"/>
      <c r="G69" s="636"/>
      <c r="H69" s="637"/>
      <c r="I69" s="637"/>
      <c r="J69" s="638"/>
    </row>
    <row r="70" spans="2:10" x14ac:dyDescent="0.2">
      <c r="B70" s="150"/>
      <c r="C70" s="229"/>
      <c r="D70" s="229"/>
      <c r="E70" s="42"/>
      <c r="G70" s="504" t="str">
        <f>'Budget Hearing Notice'!H38</f>
        <v xml:space="preserve">  </v>
      </c>
      <c r="H70" s="310" t="str">
        <f>CONCATENATE("",E1," Estimated Fund Mill Rate")</f>
        <v>2024 Estimated Fund Mill Rate</v>
      </c>
      <c r="I70" s="505"/>
      <c r="J70" s="506"/>
    </row>
    <row r="71" spans="2:10" x14ac:dyDescent="0.2">
      <c r="B71" s="143" t="str">
        <f>CONCATENATE("Cash Forward (",E1," column)")</f>
        <v>Cash Forward (2024 column)</v>
      </c>
      <c r="C71" s="229"/>
      <c r="D71" s="229"/>
      <c r="E71" s="42"/>
      <c r="G71" s="507">
        <f>'Budget Hearing Notice'!E38</f>
        <v>0</v>
      </c>
      <c r="H71" s="310" t="str">
        <f>CONCATENATE("",E1-1," Fund Mill Rate")</f>
        <v>2023 Fund Mill Rate</v>
      </c>
      <c r="I71" s="505"/>
      <c r="J71" s="506"/>
    </row>
    <row r="72" spans="2:10" x14ac:dyDescent="0.2">
      <c r="B72" s="143" t="s">
        <v>38</v>
      </c>
      <c r="C72" s="229"/>
      <c r="D72" s="229"/>
      <c r="E72" s="42"/>
      <c r="G72" s="508">
        <f>'Budget Hearing Notice'!H62</f>
        <v>36.917000000000002</v>
      </c>
      <c r="H72" s="509" t="s">
        <v>544</v>
      </c>
      <c r="I72" s="505"/>
      <c r="J72" s="506"/>
    </row>
    <row r="73" spans="2:10" x14ac:dyDescent="0.2">
      <c r="B73" s="143" t="s">
        <v>41</v>
      </c>
      <c r="C73" s="230" t="str">
        <f>IF(C74*0.1&lt;C72,"Exceed 10% Rule","")</f>
        <v/>
      </c>
      <c r="D73" s="230" t="str">
        <f>IF(D74*0.1&lt;D72,"Exceed 10% Rule","")</f>
        <v/>
      </c>
      <c r="E73" s="170" t="str">
        <f>IF(E74*0.1&lt;E72,"Exceed 10% Rule","")</f>
        <v/>
      </c>
      <c r="G73" s="504">
        <f>'Budget Hearing Notice'!H61</f>
        <v>36.917000000000002</v>
      </c>
      <c r="H73" s="310" t="str">
        <f>CONCATENATE(E1," Estimated Total Mill Rate")</f>
        <v>2024 Estimated Total Mill Rate</v>
      </c>
      <c r="I73" s="505"/>
      <c r="J73" s="506"/>
    </row>
    <row r="74" spans="2:10" x14ac:dyDescent="0.2">
      <c r="B74" s="145" t="s">
        <v>93</v>
      </c>
      <c r="C74" s="457">
        <f>SUM(C65:C72)</f>
        <v>1000</v>
      </c>
      <c r="D74" s="457">
        <f>SUM(D65:D72)</f>
        <v>24200</v>
      </c>
      <c r="E74" s="457">
        <f>SUM(E65:E72)</f>
        <v>24200</v>
      </c>
      <c r="G74" s="510">
        <f>'Budget Hearing Notice'!E61</f>
        <v>36.946999999999996</v>
      </c>
      <c r="H74" s="310" t="str">
        <f>CONCATENATE(E1-1," Total Mill Rate")</f>
        <v>2023 Total Mill Rate</v>
      </c>
      <c r="I74" s="505"/>
      <c r="J74" s="506"/>
    </row>
    <row r="75" spans="2:10" x14ac:dyDescent="0.2">
      <c r="B75" s="60" t="s">
        <v>183</v>
      </c>
      <c r="C75" s="106">
        <f>C63-C74</f>
        <v>52098</v>
      </c>
      <c r="D75" s="106">
        <f>D63-D74</f>
        <v>32898</v>
      </c>
      <c r="E75" s="165" t="s">
        <v>66</v>
      </c>
      <c r="G75" s="321"/>
      <c r="H75" s="293"/>
      <c r="I75" s="293"/>
      <c r="J75" s="323"/>
    </row>
    <row r="76" spans="2:10" x14ac:dyDescent="0.2">
      <c r="B76" s="135" t="str">
        <f>CONCATENATE("",E1-2,"/",E1-1,"/",E1," Budget Authority Amount:")</f>
        <v>2022/2023/2024 Budget Authority Amount:</v>
      </c>
      <c r="C76" s="167">
        <f>inputOth!B57</f>
        <v>15000</v>
      </c>
      <c r="D76" s="167">
        <v>24200</v>
      </c>
      <c r="E76" s="106">
        <f>E74</f>
        <v>24200</v>
      </c>
      <c r="G76" s="639" t="s">
        <v>545</v>
      </c>
      <c r="H76" s="640"/>
      <c r="I76" s="640"/>
      <c r="J76" s="643" t="str">
        <f>IF(G73&gt;G72, "Yes", "No")</f>
        <v>No</v>
      </c>
    </row>
    <row r="77" spans="2:10" x14ac:dyDescent="0.2">
      <c r="B77" s="125"/>
      <c r="C77" s="647" t="s">
        <v>281</v>
      </c>
      <c r="D77" s="648"/>
      <c r="E77" s="42"/>
      <c r="G77" s="641"/>
      <c r="H77" s="642"/>
      <c r="I77" s="642"/>
      <c r="J77" s="644"/>
    </row>
    <row r="78" spans="2:10" x14ac:dyDescent="0.2">
      <c r="B78" s="335" t="str">
        <f>CONCATENATE(C96,"      ",D96)</f>
        <v xml:space="preserve">      </v>
      </c>
      <c r="C78" s="649" t="s">
        <v>282</v>
      </c>
      <c r="D78" s="650"/>
      <c r="E78" s="106">
        <f>E74+E77</f>
        <v>24200</v>
      </c>
      <c r="G78" s="645" t="str">
        <f>IF(J76="Yes", "Follow procedure prescribed by KSA 79-2988 to exceed the Revenue Neutral Rate.", " ")</f>
        <v xml:space="preserve"> </v>
      </c>
      <c r="H78" s="645"/>
      <c r="I78" s="645"/>
      <c r="J78" s="645"/>
    </row>
    <row r="79" spans="2:10" x14ac:dyDescent="0.2">
      <c r="B79" s="335" t="str">
        <f>CONCATENATE(C97,"      ",D97)</f>
        <v xml:space="preserve">      </v>
      </c>
      <c r="C79" s="152"/>
      <c r="D79" s="90" t="s">
        <v>94</v>
      </c>
      <c r="E79" s="106">
        <f>IF(E78-E63&gt;0,E78-E63,0)</f>
        <v>0</v>
      </c>
      <c r="F79" s="151"/>
      <c r="G79" s="646"/>
      <c r="H79" s="646"/>
      <c r="I79" s="646"/>
      <c r="J79" s="646"/>
    </row>
    <row r="80" spans="2:10" x14ac:dyDescent="0.2">
      <c r="B80" s="90"/>
      <c r="C80" s="262" t="s">
        <v>283</v>
      </c>
      <c r="D80" s="291">
        <f>inputOth!$E$28</f>
        <v>5.4000000000000003E-3</v>
      </c>
      <c r="E80" s="106">
        <f>ROUND(IF(D80&gt;0,(E79*D80),0),0)</f>
        <v>0</v>
      </c>
      <c r="F80" s="238" t="str">
        <f>IF(E74/0.95-E74&lt;E77,"Exceeds 5%","")</f>
        <v/>
      </c>
      <c r="G80" s="646"/>
      <c r="H80" s="646"/>
      <c r="I80" s="646"/>
      <c r="J80" s="646"/>
    </row>
    <row r="81" spans="2:5" x14ac:dyDescent="0.2">
      <c r="B81" s="26"/>
      <c r="C81" s="631" t="str">
        <f>CONCATENATE("Amount of  ",$E$1-1," Ad Valorem Tax")</f>
        <v>Amount of  2023 Ad Valorem Tax</v>
      </c>
      <c r="D81" s="651"/>
      <c r="E81" s="106">
        <f>E79+E80</f>
        <v>0</v>
      </c>
    </row>
    <row r="82" spans="2:5" x14ac:dyDescent="0.2">
      <c r="B82" s="26"/>
      <c r="C82" s="125"/>
      <c r="D82" s="26"/>
      <c r="E82" s="125"/>
    </row>
    <row r="83" spans="2:5" x14ac:dyDescent="0.2">
      <c r="B83" s="417" t="s">
        <v>341</v>
      </c>
      <c r="C83" s="396"/>
      <c r="D83" s="341"/>
      <c r="E83" s="403"/>
    </row>
    <row r="84" spans="2:5" x14ac:dyDescent="0.2">
      <c r="B84" s="126"/>
      <c r="C84" s="125"/>
      <c r="D84" s="26"/>
      <c r="E84" s="404"/>
    </row>
    <row r="85" spans="2:5" x14ac:dyDescent="0.2">
      <c r="B85" s="397"/>
      <c r="C85" s="402"/>
      <c r="D85" s="44"/>
      <c r="E85" s="405"/>
    </row>
    <row r="86" spans="2:5" x14ac:dyDescent="0.2">
      <c r="B86" s="26"/>
      <c r="C86" s="125"/>
      <c r="D86" s="26"/>
      <c r="E86" s="125"/>
    </row>
    <row r="87" spans="2:5" x14ac:dyDescent="0.2">
      <c r="B87" s="125" t="s">
        <v>133</v>
      </c>
      <c r="C87" s="362">
        <v>17</v>
      </c>
      <c r="D87" s="26"/>
      <c r="E87" s="26"/>
    </row>
    <row r="92" spans="2:5" hidden="1" x14ac:dyDescent="0.2"/>
    <row r="93" spans="2:5" hidden="1" x14ac:dyDescent="0.2"/>
    <row r="94" spans="2:5" hidden="1" x14ac:dyDescent="0.2">
      <c r="C94" s="23" t="str">
        <f>IF(C33&gt;C35,"See Tab A","")</f>
        <v/>
      </c>
      <c r="D94" s="23" t="str">
        <f>IF(D33&gt;D35,"See Tab C","")</f>
        <v/>
      </c>
    </row>
    <row r="95" spans="2:5" hidden="1" x14ac:dyDescent="0.2">
      <c r="C95" s="23" t="str">
        <f>IF(C34&lt;0,"See Tab B","")</f>
        <v/>
      </c>
      <c r="D95" s="23" t="str">
        <f>IF(D34&lt;0,"See Tab D","")</f>
        <v/>
      </c>
    </row>
    <row r="96" spans="2:5" x14ac:dyDescent="0.2">
      <c r="C96" s="23" t="str">
        <f>IF(C74&gt;C76,"See Tab A","")</f>
        <v/>
      </c>
      <c r="D96" s="23" t="str">
        <f>IF(D74&gt;D76,"See Tab C","")</f>
        <v/>
      </c>
    </row>
    <row r="97" spans="3:4" x14ac:dyDescent="0.2">
      <c r="C97" s="23" t="str">
        <f>IF(C75&lt;0,"See Tab B","")</f>
        <v/>
      </c>
      <c r="D97" s="23" t="str">
        <f>IF(D75&lt;0,"See Tab D","")</f>
        <v/>
      </c>
    </row>
  </sheetData>
  <mergeCells count="18">
    <mergeCell ref="C81:D81"/>
    <mergeCell ref="G68:J69"/>
    <mergeCell ref="G76:I77"/>
    <mergeCell ref="J76:J77"/>
    <mergeCell ref="G78:J80"/>
    <mergeCell ref="G51:J51"/>
    <mergeCell ref="C37:D37"/>
    <mergeCell ref="C78:D78"/>
    <mergeCell ref="G58:J58"/>
    <mergeCell ref="C77:D77"/>
    <mergeCell ref="G36:J38"/>
    <mergeCell ref="G9:J9"/>
    <mergeCell ref="G16:J16"/>
    <mergeCell ref="C36:D36"/>
    <mergeCell ref="C40:D40"/>
    <mergeCell ref="G26:J27"/>
    <mergeCell ref="G34:I35"/>
    <mergeCell ref="J34:J35"/>
  </mergeCells>
  <phoneticPr fontId="0" type="noConversion"/>
  <conditionalFormatting sqref="E36">
    <cfRule type="cellIs" dxfId="147" priority="30" stopIfTrue="1" operator="greaterThan">
      <formula>$E$33/0.95-$E$33</formula>
    </cfRule>
  </conditionalFormatting>
  <conditionalFormatting sqref="E77">
    <cfRule type="cellIs" dxfId="146" priority="29" stopIfTrue="1" operator="greaterThan">
      <formula>$E$74/0.95-$E$74</formula>
    </cfRule>
  </conditionalFormatting>
  <conditionalFormatting sqref="E72">
    <cfRule type="cellIs" dxfId="145" priority="28" stopIfTrue="1" operator="greaterThan">
      <formula>$E$74*0.1</formula>
    </cfRule>
  </conditionalFormatting>
  <conditionalFormatting sqref="C20">
    <cfRule type="cellIs" dxfId="144" priority="27" stopIfTrue="1" operator="greaterThan">
      <formula>$C$22*0.1</formula>
    </cfRule>
  </conditionalFormatting>
  <conditionalFormatting sqref="D20">
    <cfRule type="cellIs" dxfId="143" priority="26" stopIfTrue="1" operator="greaterThan">
      <formula>$D$22*0.1</formula>
    </cfRule>
  </conditionalFormatting>
  <conditionalFormatting sqref="E31">
    <cfRule type="cellIs" dxfId="142" priority="25" stopIfTrue="1" operator="greaterThan">
      <formula>$E$33*0.1</formula>
    </cfRule>
  </conditionalFormatting>
  <conditionalFormatting sqref="E20">
    <cfRule type="cellIs" dxfId="141" priority="24" stopIfTrue="1" operator="greaterThan">
      <formula>$E$22*0.1+E40</formula>
    </cfRule>
  </conditionalFormatting>
  <conditionalFormatting sqref="E60">
    <cfRule type="cellIs" dxfId="140" priority="23" stopIfTrue="1" operator="greaterThan">
      <formula>$E$62*0.1+E81</formula>
    </cfRule>
  </conditionalFormatting>
  <conditionalFormatting sqref="C72">
    <cfRule type="cellIs" dxfId="139" priority="22" stopIfTrue="1" operator="greaterThan">
      <formula>$C$74*0.1</formula>
    </cfRule>
  </conditionalFormatting>
  <conditionalFormatting sqref="D72">
    <cfRule type="cellIs" dxfId="138" priority="21" stopIfTrue="1" operator="greaterThan">
      <formula>$D$74*0.1</formula>
    </cfRule>
  </conditionalFormatting>
  <conditionalFormatting sqref="D60">
    <cfRule type="cellIs" dxfId="137" priority="20" stopIfTrue="1" operator="greaterThan">
      <formula>$D$62*0.1</formula>
    </cfRule>
  </conditionalFormatting>
  <conditionalFormatting sqref="C60">
    <cfRule type="cellIs" dxfId="136" priority="19" stopIfTrue="1" operator="greaterThan">
      <formula>$C$62*0.1</formula>
    </cfRule>
  </conditionalFormatting>
  <conditionalFormatting sqref="C31">
    <cfRule type="cellIs" dxfId="135" priority="18" stopIfTrue="1" operator="greaterThan">
      <formula>$C$33*0.1</formula>
    </cfRule>
  </conditionalFormatting>
  <conditionalFormatting sqref="D31">
    <cfRule type="cellIs" dxfId="134" priority="17" stopIfTrue="1" operator="greaterThan">
      <formula>$D$33*0.1</formula>
    </cfRule>
  </conditionalFormatting>
  <conditionalFormatting sqref="J76">
    <cfRule type="containsText" dxfId="133" priority="10" operator="containsText" text="Yes">
      <formula>NOT(ISERROR(SEARCH("Yes",J76)))</formula>
    </cfRule>
  </conditionalFormatting>
  <conditionalFormatting sqref="J34">
    <cfRule type="containsText" dxfId="132" priority="9" operator="containsText" text="Yes">
      <formula>NOT(ISERROR(SEARCH("Yes",J34)))</formula>
    </cfRule>
  </conditionalFormatting>
  <conditionalFormatting sqref="C33">
    <cfRule type="cellIs" dxfId="131" priority="8" stopIfTrue="1" operator="greaterThan">
      <formula>$C$35</formula>
    </cfRule>
  </conditionalFormatting>
  <conditionalFormatting sqref="D33">
    <cfRule type="cellIs" dxfId="130" priority="7" stopIfTrue="1" operator="greaterThan">
      <formula>$D$35</formula>
    </cfRule>
  </conditionalFormatting>
  <conditionalFormatting sqref="C74">
    <cfRule type="cellIs" dxfId="129" priority="6" stopIfTrue="1" operator="greaterThan">
      <formula>$C$76</formula>
    </cfRule>
  </conditionalFormatting>
  <conditionalFormatting sqref="D74">
    <cfRule type="cellIs" dxfId="128" priority="5" stopIfTrue="1" operator="greaterThan">
      <formula>$D$76</formula>
    </cfRule>
  </conditionalFormatting>
  <conditionalFormatting sqref="C34">
    <cfRule type="cellIs" dxfId="127" priority="3" stopIfTrue="1" operator="lessThan">
      <formula>0</formula>
    </cfRule>
  </conditionalFormatting>
  <conditionalFormatting sqref="C75">
    <cfRule type="cellIs" dxfId="126" priority="1" stopIfTrue="1" operator="lessThan">
      <formula>0</formula>
    </cfRule>
  </conditionalFormatting>
  <conditionalFormatting sqref="D75">
    <cfRule type="cellIs" dxfId="125" priority="2" stopIfTrue="1" operator="lessThan">
      <formula>0</formula>
    </cfRule>
  </conditionalFormatting>
  <conditionalFormatting sqref="D34">
    <cfRule type="cellIs" dxfId="124" priority="4" stopIfTrue="1" operator="lessThan">
      <formula>0</formula>
    </cfRule>
  </conditionalFormatting>
  <pageMargins left="1.1200000000000001" right="0.5" top="0.74" bottom="0.34" header="0.5" footer="0"/>
  <pageSetup scale="50" orientation="portrait" blackAndWhite="1" horizontalDpi="300" verticalDpi="300" r:id="rId1"/>
  <headerFooter alignWithMargins="0">
    <oddHeader xml:space="preserve">&amp;RState of Kansas
County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pageSetUpPr fitToPage="1"/>
  </sheetPr>
  <dimension ref="B1:K100"/>
  <sheetViews>
    <sheetView zoomScaleNormal="100"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33203125" style="23" customWidth="1"/>
    <col min="6" max="6" width="7.44140625" style="23" customWidth="1"/>
    <col min="7" max="7" width="10.21875" style="23" customWidth="1"/>
    <col min="8" max="8" width="8.88671875" style="23"/>
    <col min="9" max="9" width="5.88671875" style="23" customWidth="1"/>
    <col min="10" max="10" width="10" style="23" customWidth="1"/>
    <col min="11" max="16384" width="8.88671875" style="23"/>
  </cols>
  <sheetData>
    <row r="1" spans="2:10" x14ac:dyDescent="0.2">
      <c r="B1" s="57" t="str">
        <f>inputPrYr!C3</f>
        <v>Doniphan County</v>
      </c>
      <c r="C1" s="26"/>
      <c r="D1" s="26"/>
      <c r="E1" s="125">
        <f>inputPrYr!C5</f>
        <v>2024</v>
      </c>
    </row>
    <row r="2" spans="2:10" x14ac:dyDescent="0.2">
      <c r="B2" s="26"/>
      <c r="C2" s="26"/>
      <c r="D2" s="26"/>
      <c r="E2" s="90"/>
    </row>
    <row r="3" spans="2:10" x14ac:dyDescent="0.2">
      <c r="B3" s="64" t="s">
        <v>172</v>
      </c>
      <c r="C3" s="161"/>
      <c r="D3" s="161"/>
      <c r="E3" s="162"/>
    </row>
    <row r="4" spans="2:10" x14ac:dyDescent="0.2">
      <c r="B4" s="25" t="s">
        <v>80</v>
      </c>
      <c r="C4" s="333" t="s">
        <v>306</v>
      </c>
      <c r="D4" s="334" t="s">
        <v>307</v>
      </c>
      <c r="E4" s="80" t="s">
        <v>308</v>
      </c>
    </row>
    <row r="5" spans="2:10" x14ac:dyDescent="0.2">
      <c r="B5" s="247" t="str">
        <f>inputPrYr!B42</f>
        <v>New Sales Tax</v>
      </c>
      <c r="C5" s="231" t="str">
        <f>CONCATENATE("Actual for ",E1-2,"")</f>
        <v>Actual for 2022</v>
      </c>
      <c r="D5" s="231" t="str">
        <f>CONCATENATE("Estimate for ",E1-1,"")</f>
        <v>Estimate for 2023</v>
      </c>
      <c r="E5" s="136" t="str">
        <f>CONCATENATE("Year for ",E1,"")</f>
        <v>Year for 2024</v>
      </c>
    </row>
    <row r="6" spans="2:10" x14ac:dyDescent="0.2">
      <c r="B6" s="60" t="s">
        <v>182</v>
      </c>
      <c r="C6" s="229">
        <v>2097581</v>
      </c>
      <c r="D6" s="232">
        <f>C34</f>
        <v>1834204</v>
      </c>
      <c r="E6" s="106">
        <f>D34</f>
        <v>1234204</v>
      </c>
    </row>
    <row r="7" spans="2:10" x14ac:dyDescent="0.2">
      <c r="B7" s="128" t="s">
        <v>184</v>
      </c>
      <c r="C7" s="139"/>
      <c r="D7" s="139"/>
      <c r="E7" s="50"/>
    </row>
    <row r="8" spans="2:10" x14ac:dyDescent="0.2">
      <c r="B8" s="60" t="s">
        <v>81</v>
      </c>
      <c r="C8" s="229"/>
      <c r="D8" s="232"/>
      <c r="E8" s="165"/>
    </row>
    <row r="9" spans="2:10" x14ac:dyDescent="0.2">
      <c r="B9" s="60" t="s">
        <v>82</v>
      </c>
      <c r="C9" s="229"/>
      <c r="D9" s="229"/>
      <c r="E9" s="42"/>
      <c r="G9" s="652" t="str">
        <f>CONCATENATE("Desired Carryover Into ",E1+1,"")</f>
        <v>Desired Carryover Into 2025</v>
      </c>
      <c r="H9" s="653"/>
      <c r="I9" s="653"/>
      <c r="J9" s="654"/>
    </row>
    <row r="10" spans="2:10" x14ac:dyDescent="0.2">
      <c r="B10" s="60" t="s">
        <v>83</v>
      </c>
      <c r="C10" s="229"/>
      <c r="D10" s="229"/>
      <c r="E10" s="42"/>
      <c r="G10" s="292"/>
      <c r="H10" s="293"/>
      <c r="I10" s="294"/>
      <c r="J10" s="295"/>
    </row>
    <row r="11" spans="2:10" x14ac:dyDescent="0.2">
      <c r="B11" s="60" t="s">
        <v>84</v>
      </c>
      <c r="C11" s="229"/>
      <c r="D11" s="229"/>
      <c r="E11" s="42"/>
      <c r="G11" s="296" t="s">
        <v>284</v>
      </c>
      <c r="H11" s="294"/>
      <c r="I11" s="294"/>
      <c r="J11" s="297">
        <v>0</v>
      </c>
    </row>
    <row r="12" spans="2:10" x14ac:dyDescent="0.2">
      <c r="B12" s="139" t="s">
        <v>163</v>
      </c>
      <c r="C12" s="229"/>
      <c r="D12" s="229"/>
      <c r="E12" s="42"/>
      <c r="G12" s="292" t="s">
        <v>285</v>
      </c>
      <c r="H12" s="293"/>
      <c r="I12" s="293"/>
      <c r="J12" s="298" t="str">
        <f>IF(J11=0,"",ROUND((J11+E40-G24)/inputOth!E6*1000,3)-G29)</f>
        <v/>
      </c>
    </row>
    <row r="13" spans="2:10" x14ac:dyDescent="0.2">
      <c r="B13" s="137" t="s">
        <v>335</v>
      </c>
      <c r="C13" s="229"/>
      <c r="D13" s="229"/>
      <c r="E13" s="42"/>
      <c r="G13" s="299" t="str">
        <f>CONCATENATE("",E1," Tot Exp/Non-Appr Must Be:")</f>
        <v>2024 Tot Exp/Non-Appr Must Be:</v>
      </c>
      <c r="H13" s="300"/>
      <c r="I13" s="301"/>
      <c r="J13" s="302">
        <f>IF(J11&gt;0,IF(E37&lt;E23,IF(J11=G24,E37,((J11-G24)*(1-D39))+E23),E37+(J11-G24)),0)</f>
        <v>0</v>
      </c>
    </row>
    <row r="14" spans="2:10" x14ac:dyDescent="0.2">
      <c r="B14" s="137" t="s">
        <v>336</v>
      </c>
      <c r="C14" s="229"/>
      <c r="D14" s="229"/>
      <c r="E14" s="42"/>
      <c r="G14" s="303" t="s">
        <v>305</v>
      </c>
      <c r="H14" s="304"/>
      <c r="I14" s="304"/>
      <c r="J14" s="305">
        <f>IF(J11&gt;0,J13-E37,0)</f>
        <v>0</v>
      </c>
    </row>
    <row r="15" spans="2:10" x14ac:dyDescent="0.25">
      <c r="B15" s="150" t="s">
        <v>1010</v>
      </c>
      <c r="C15" s="229">
        <v>642358</v>
      </c>
      <c r="D15" s="229">
        <v>650000</v>
      </c>
      <c r="E15" s="42">
        <v>500000</v>
      </c>
      <c r="G15" s="1"/>
      <c r="H15" s="1"/>
      <c r="I15" s="1"/>
      <c r="J15" s="1"/>
    </row>
    <row r="16" spans="2:10" x14ac:dyDescent="0.2">
      <c r="B16" s="150"/>
      <c r="C16" s="229"/>
      <c r="D16" s="229"/>
      <c r="E16" s="42"/>
      <c r="G16" s="652" t="str">
        <f>CONCATENATE("Projected Carryover Into ",E1+1,"")</f>
        <v>Projected Carryover Into 2025</v>
      </c>
      <c r="H16" s="658"/>
      <c r="I16" s="658"/>
      <c r="J16" s="659"/>
    </row>
    <row r="17" spans="2:11" x14ac:dyDescent="0.2">
      <c r="B17" s="150"/>
      <c r="C17" s="229"/>
      <c r="D17" s="229"/>
      <c r="E17" s="42"/>
      <c r="G17" s="292"/>
      <c r="H17" s="294"/>
      <c r="I17" s="294"/>
      <c r="J17" s="311"/>
    </row>
    <row r="18" spans="2:11" x14ac:dyDescent="0.2">
      <c r="B18" s="142" t="s">
        <v>87</v>
      </c>
      <c r="C18" s="229"/>
      <c r="D18" s="229"/>
      <c r="E18" s="42"/>
      <c r="G18" s="312">
        <f>D34</f>
        <v>1234204</v>
      </c>
      <c r="H18" s="310" t="str">
        <f>CONCATENATE("",E1-1," Ending Cash Balance (est.)")</f>
        <v>2023 Ending Cash Balance (est.)</v>
      </c>
      <c r="I18" s="313"/>
      <c r="J18" s="311"/>
    </row>
    <row r="19" spans="2:11" x14ac:dyDescent="0.2">
      <c r="B19" s="143" t="s">
        <v>40</v>
      </c>
      <c r="C19" s="229"/>
      <c r="D19" s="229"/>
      <c r="E19" s="42"/>
      <c r="G19" s="312">
        <f>E22</f>
        <v>500000</v>
      </c>
      <c r="H19" s="294" t="str">
        <f>CONCATENATE("",E1," Non-AV Receipts (est.)")</f>
        <v>2024 Non-AV Receipts (est.)</v>
      </c>
      <c r="I19" s="313"/>
      <c r="J19" s="311"/>
    </row>
    <row r="20" spans="2:11" x14ac:dyDescent="0.2">
      <c r="B20" s="143" t="s">
        <v>38</v>
      </c>
      <c r="C20" s="229"/>
      <c r="D20" s="229"/>
      <c r="E20" s="42"/>
      <c r="G20" s="314">
        <f>IF(E39&gt;0,E38,E40)</f>
        <v>0</v>
      </c>
      <c r="H20" s="294" t="str">
        <f>CONCATENATE("",E1," Ad Valorem Tax (est.)")</f>
        <v>2024 Ad Valorem Tax (est.)</v>
      </c>
      <c r="I20" s="313"/>
      <c r="J20" s="311"/>
      <c r="K20" s="308" t="str">
        <f>IF(G20=E40,"","Note: Does not include Delinquent Taxes")</f>
        <v/>
      </c>
    </row>
    <row r="21" spans="2:11" x14ac:dyDescent="0.2">
      <c r="B21" s="143" t="s">
        <v>278</v>
      </c>
      <c r="C21" s="230" t="str">
        <f>IF(C22*0.1&lt;C20,"Exceed 10% Rule","")</f>
        <v/>
      </c>
      <c r="D21" s="230" t="str">
        <f>IF(D22*0.1&lt;D20,"Exceed 10% Rule","")</f>
        <v/>
      </c>
      <c r="E21" s="170" t="str">
        <f>IF(E22*0.1+E40&lt;E20,"Exceed 10% Rule","")</f>
        <v/>
      </c>
      <c r="G21" s="312">
        <f>SUM(G18:G20)</f>
        <v>1734204</v>
      </c>
      <c r="H21" s="294" t="str">
        <f>CONCATENATE("Total ",E1," Resources Available")</f>
        <v>Total 2024 Resources Available</v>
      </c>
      <c r="I21" s="313"/>
      <c r="J21" s="311"/>
    </row>
    <row r="22" spans="2:11" x14ac:dyDescent="0.2">
      <c r="B22" s="145" t="s">
        <v>88</v>
      </c>
      <c r="C22" s="503">
        <f>SUM(C8:C20)</f>
        <v>642358</v>
      </c>
      <c r="D22" s="503">
        <f>SUM(D8:D20)</f>
        <v>650000</v>
      </c>
      <c r="E22" s="457">
        <f>SUM(E8:E20)</f>
        <v>500000</v>
      </c>
      <c r="G22" s="315"/>
      <c r="H22" s="294"/>
      <c r="I22" s="294"/>
      <c r="J22" s="311"/>
    </row>
    <row r="23" spans="2:11" x14ac:dyDescent="0.25">
      <c r="B23" s="145" t="s">
        <v>89</v>
      </c>
      <c r="C23" s="503">
        <f>C6+C22</f>
        <v>2739939</v>
      </c>
      <c r="D23" s="503">
        <f>D6+D22</f>
        <v>2484204</v>
      </c>
      <c r="E23" s="457">
        <f>E6+E22</f>
        <v>1734204</v>
      </c>
      <c r="G23" s="314">
        <f>ROUND(C33*0.05+C33,0)</f>
        <v>951022</v>
      </c>
      <c r="H23" s="294" t="str">
        <f>CONCATENATE("Less ",E1-2," Expenditures + 5%")</f>
        <v>Less 2022 Expenditures + 5%</v>
      </c>
      <c r="I23" s="313"/>
      <c r="J23" s="316"/>
    </row>
    <row r="24" spans="2:11" x14ac:dyDescent="0.2">
      <c r="B24" s="60" t="s">
        <v>92</v>
      </c>
      <c r="C24" s="143"/>
      <c r="D24" s="143"/>
      <c r="E24" s="38"/>
      <c r="G24" s="317">
        <f>G21-G23</f>
        <v>783182</v>
      </c>
      <c r="H24" s="318" t="str">
        <f>CONCATENATE("Projected ",E1+1," carryover (est.)")</f>
        <v>Projected 2025 carryover (est.)</v>
      </c>
      <c r="I24" s="319"/>
      <c r="J24" s="320"/>
    </row>
    <row r="25" spans="2:11" x14ac:dyDescent="0.25">
      <c r="B25" s="150" t="s">
        <v>1046</v>
      </c>
      <c r="C25" s="229">
        <v>905735</v>
      </c>
      <c r="D25" s="229">
        <v>1250000</v>
      </c>
      <c r="E25" s="42">
        <v>1250000</v>
      </c>
      <c r="G25" s="1"/>
      <c r="H25" s="1"/>
      <c r="I25" s="1"/>
      <c r="J25" s="1"/>
    </row>
    <row r="26" spans="2:11" x14ac:dyDescent="0.2">
      <c r="B26" s="150" t="s">
        <v>1047</v>
      </c>
      <c r="C26" s="229"/>
      <c r="D26" s="229"/>
      <c r="E26" s="42">
        <v>150000</v>
      </c>
      <c r="G26" s="633" t="s">
        <v>543</v>
      </c>
      <c r="H26" s="634"/>
      <c r="I26" s="634"/>
      <c r="J26" s="635"/>
    </row>
    <row r="27" spans="2:11" x14ac:dyDescent="0.2">
      <c r="B27" s="150"/>
      <c r="C27" s="229"/>
      <c r="D27" s="229"/>
      <c r="E27" s="42"/>
      <c r="G27" s="636"/>
      <c r="H27" s="637"/>
      <c r="I27" s="637"/>
      <c r="J27" s="638"/>
    </row>
    <row r="28" spans="2:11" x14ac:dyDescent="0.2">
      <c r="B28" s="150"/>
      <c r="C28" s="229"/>
      <c r="D28" s="229"/>
      <c r="E28" s="42"/>
      <c r="G28" s="504" t="str">
        <f>'Budget Hearing Notice'!H39</f>
        <v xml:space="preserve">  </v>
      </c>
      <c r="H28" s="310" t="str">
        <f>CONCATENATE("",E1," Estimated Fund Mill Rate")</f>
        <v>2024 Estimated Fund Mill Rate</v>
      </c>
      <c r="I28" s="505"/>
      <c r="J28" s="506"/>
    </row>
    <row r="29" spans="2:11" x14ac:dyDescent="0.2">
      <c r="B29" s="150"/>
      <c r="C29" s="229"/>
      <c r="D29" s="229"/>
      <c r="E29" s="42"/>
      <c r="G29" s="507">
        <f>'Budget Hearing Notice'!E39</f>
        <v>0</v>
      </c>
      <c r="H29" s="310" t="str">
        <f>CONCATENATE("",E1-1," Fund Mill Rate")</f>
        <v>2023 Fund Mill Rate</v>
      </c>
      <c r="I29" s="505"/>
      <c r="J29" s="506"/>
    </row>
    <row r="30" spans="2:11" x14ac:dyDescent="0.2">
      <c r="B30" s="143" t="str">
        <f>CONCATENATE("Cash Forward (",E1," column)")</f>
        <v>Cash Forward (2024 column)</v>
      </c>
      <c r="C30" s="229"/>
      <c r="D30" s="229"/>
      <c r="E30" s="42"/>
      <c r="G30" s="508">
        <f>'Budget Hearing Notice'!H62</f>
        <v>36.917000000000002</v>
      </c>
      <c r="H30" s="509" t="s">
        <v>544</v>
      </c>
      <c r="I30" s="505"/>
      <c r="J30" s="506"/>
    </row>
    <row r="31" spans="2:11" x14ac:dyDescent="0.2">
      <c r="B31" s="143" t="s">
        <v>38</v>
      </c>
      <c r="C31" s="229"/>
      <c r="D31" s="229"/>
      <c r="E31" s="42"/>
      <c r="G31" s="504">
        <f>'Budget Hearing Notice'!H61</f>
        <v>36.917000000000002</v>
      </c>
      <c r="H31" s="310" t="str">
        <f>CONCATENATE(E1," Estimated Total Mill Rate")</f>
        <v>2024 Estimated Total Mill Rate</v>
      </c>
      <c r="I31" s="505"/>
      <c r="J31" s="506"/>
    </row>
    <row r="32" spans="2:11" x14ac:dyDescent="0.2">
      <c r="B32" s="143" t="s">
        <v>277</v>
      </c>
      <c r="C32" s="230" t="str">
        <f>IF(C33*0.1&lt;C31,"Exceed 10% Rule","")</f>
        <v/>
      </c>
      <c r="D32" s="230" t="str">
        <f>IF(D33*0.1&lt;D31,"Exceed 10% Rule","")</f>
        <v/>
      </c>
      <c r="E32" s="170" t="str">
        <f>IF(E33*0.1&lt;E31,"Exceed 10% Rule","")</f>
        <v/>
      </c>
      <c r="G32" s="510">
        <f>'Budget Hearing Notice'!E61</f>
        <v>36.946999999999996</v>
      </c>
      <c r="H32" s="310" t="str">
        <f>CONCATENATE(E1-1," Total Mill Rate")</f>
        <v>2023 Total Mill Rate</v>
      </c>
      <c r="I32" s="505"/>
      <c r="J32" s="506"/>
    </row>
    <row r="33" spans="2:10" x14ac:dyDescent="0.2">
      <c r="B33" s="145" t="s">
        <v>93</v>
      </c>
      <c r="C33" s="503">
        <f>SUM(C25:C31)</f>
        <v>905735</v>
      </c>
      <c r="D33" s="503">
        <f>SUM(D25:D31)</f>
        <v>1250000</v>
      </c>
      <c r="E33" s="457">
        <f>SUM(E25:E31)</f>
        <v>1400000</v>
      </c>
      <c r="G33" s="321"/>
      <c r="H33" s="293"/>
      <c r="I33" s="293"/>
      <c r="J33" s="323"/>
    </row>
    <row r="34" spans="2:10" x14ac:dyDescent="0.2">
      <c r="B34" s="60" t="s">
        <v>183</v>
      </c>
      <c r="C34" s="232">
        <f>C23-C33</f>
        <v>1834204</v>
      </c>
      <c r="D34" s="232">
        <f>D23-D33</f>
        <v>1234204</v>
      </c>
      <c r="E34" s="165" t="s">
        <v>66</v>
      </c>
      <c r="G34" s="639" t="s">
        <v>545</v>
      </c>
      <c r="H34" s="640"/>
      <c r="I34" s="640"/>
      <c r="J34" s="643" t="str">
        <f>IF(G31&gt;G30, "Yes", "No")</f>
        <v>No</v>
      </c>
    </row>
    <row r="35" spans="2:10" x14ac:dyDescent="0.2">
      <c r="B35" s="135" t="str">
        <f>CONCATENATE("",E1-2,"/",E1-1,"/",E1," Budget Authority Amount:")</f>
        <v>2022/2023/2024 Budget Authority Amount:</v>
      </c>
      <c r="C35" s="167">
        <f>inputOth!B58</f>
        <v>1150000</v>
      </c>
      <c r="D35" s="167">
        <v>1400000</v>
      </c>
      <c r="E35" s="106">
        <f>E33</f>
        <v>1400000</v>
      </c>
      <c r="G35" s="641"/>
      <c r="H35" s="642"/>
      <c r="I35" s="642"/>
      <c r="J35" s="644"/>
    </row>
    <row r="36" spans="2:10" x14ac:dyDescent="0.2">
      <c r="B36" s="125"/>
      <c r="C36" s="647" t="s">
        <v>281</v>
      </c>
      <c r="D36" s="648"/>
      <c r="E36" s="42"/>
      <c r="G36" s="645" t="str">
        <f>IF(J34="Yes", "Follow procedure prescribed by KSA 79-2988 to exceed the Revenue Neutral Rate.", " ")</f>
        <v xml:space="preserve"> </v>
      </c>
      <c r="H36" s="645"/>
      <c r="I36" s="645"/>
      <c r="J36" s="645"/>
    </row>
    <row r="37" spans="2:10" x14ac:dyDescent="0.2">
      <c r="B37" s="263" t="str">
        <f>CONCATENATE(C97,"     ",D97)</f>
        <v xml:space="preserve">     </v>
      </c>
      <c r="C37" s="649" t="s">
        <v>282</v>
      </c>
      <c r="D37" s="650"/>
      <c r="E37" s="106">
        <f>E33+E36</f>
        <v>1400000</v>
      </c>
      <c r="F37" s="151"/>
      <c r="G37" s="646"/>
      <c r="H37" s="646"/>
      <c r="I37" s="646"/>
      <c r="J37" s="646"/>
    </row>
    <row r="38" spans="2:10" x14ac:dyDescent="0.2">
      <c r="B38" s="263" t="str">
        <f>CONCATENATE(C98,"     ",D98)</f>
        <v xml:space="preserve">     </v>
      </c>
      <c r="C38" s="152"/>
      <c r="D38" s="90" t="s">
        <v>94</v>
      </c>
      <c r="E38" s="106">
        <f>IF(E37-E23&gt;0,E37-E23,0)</f>
        <v>0</v>
      </c>
      <c r="F38" s="238" t="str">
        <f>IF(E33/0.95-E33&lt;E36,"Exceeds 5%","")</f>
        <v/>
      </c>
      <c r="G38" s="646"/>
      <c r="H38" s="646"/>
      <c r="I38" s="646"/>
      <c r="J38" s="646"/>
    </row>
    <row r="39" spans="2:10" x14ac:dyDescent="0.25">
      <c r="B39" s="90"/>
      <c r="C39" s="262" t="s">
        <v>283</v>
      </c>
      <c r="D39" s="291">
        <f>inputOth!$E$28</f>
        <v>5.4000000000000003E-3</v>
      </c>
      <c r="E39" s="106">
        <f>ROUND(IF(D39&gt;0,($E$38*D39),0),0)</f>
        <v>0</v>
      </c>
      <c r="G39" s="1"/>
      <c r="H39" s="1"/>
      <c r="I39" s="1"/>
      <c r="J39" s="1"/>
    </row>
    <row r="40" spans="2:10" x14ac:dyDescent="0.25">
      <c r="B40" s="26"/>
      <c r="C40" s="631" t="str">
        <f>CONCATENATE("Amount of  ",$E$1-1," Ad Valorem Tax")</f>
        <v>Amount of  2023 Ad Valorem Tax</v>
      </c>
      <c r="D40" s="651"/>
      <c r="E40" s="106">
        <f>E38+E39</f>
        <v>0</v>
      </c>
      <c r="G40" s="1"/>
      <c r="H40" s="1"/>
      <c r="I40" s="1"/>
      <c r="J40" s="1"/>
    </row>
    <row r="41" spans="2:10" x14ac:dyDescent="0.25">
      <c r="B41" s="26"/>
      <c r="C41" s="155"/>
      <c r="D41" s="155"/>
      <c r="E41" s="155"/>
      <c r="G41" s="1"/>
      <c r="H41" s="1"/>
      <c r="I41" s="1"/>
      <c r="J41" s="1"/>
    </row>
    <row r="42" spans="2:10" x14ac:dyDescent="0.25">
      <c r="B42" s="25" t="s">
        <v>80</v>
      </c>
      <c r="C42" s="333" t="str">
        <f t="shared" ref="C42:E43" si="0">C4</f>
        <v xml:space="preserve">Prior Year </v>
      </c>
      <c r="D42" s="334" t="str">
        <f t="shared" si="0"/>
        <v xml:space="preserve">Current Year </v>
      </c>
      <c r="E42" s="80" t="str">
        <f t="shared" si="0"/>
        <v xml:space="preserve">Proposed Budget </v>
      </c>
      <c r="G42" s="1"/>
      <c r="H42" s="1"/>
      <c r="I42" s="1"/>
      <c r="J42" s="1"/>
    </row>
    <row r="43" spans="2:10" x14ac:dyDescent="0.25">
      <c r="B43" s="246" t="s">
        <v>946</v>
      </c>
      <c r="C43" s="231" t="str">
        <f t="shared" si="0"/>
        <v>Actual for 2022</v>
      </c>
      <c r="D43" s="231" t="str">
        <f t="shared" si="0"/>
        <v>Estimate for 2023</v>
      </c>
      <c r="E43" s="136" t="str">
        <f t="shared" si="0"/>
        <v>Year for 2024</v>
      </c>
      <c r="G43" s="1"/>
      <c r="H43" s="1"/>
      <c r="I43" s="1"/>
      <c r="J43" s="1"/>
    </row>
    <row r="44" spans="2:10" x14ac:dyDescent="0.25">
      <c r="B44" s="60" t="s">
        <v>182</v>
      </c>
      <c r="C44" s="229">
        <v>223303.77</v>
      </c>
      <c r="D44" s="232">
        <f>C75</f>
        <v>223303.77</v>
      </c>
      <c r="E44" s="106">
        <f>D75</f>
        <v>223303.77</v>
      </c>
      <c r="G44" s="1"/>
      <c r="H44" s="1"/>
      <c r="I44" s="1"/>
      <c r="J44" s="1"/>
    </row>
    <row r="45" spans="2:10" x14ac:dyDescent="0.25">
      <c r="B45" s="137" t="s">
        <v>184</v>
      </c>
      <c r="C45" s="139"/>
      <c r="D45" s="139"/>
      <c r="E45" s="50"/>
      <c r="G45" s="1"/>
      <c r="H45" s="1"/>
      <c r="I45" s="1"/>
      <c r="J45" s="1"/>
    </row>
    <row r="46" spans="2:10" x14ac:dyDescent="0.25">
      <c r="B46" s="60" t="s">
        <v>81</v>
      </c>
      <c r="C46" s="229"/>
      <c r="D46" s="232"/>
      <c r="E46" s="165"/>
      <c r="G46" s="1"/>
      <c r="H46" s="1"/>
      <c r="I46" s="1"/>
      <c r="J46" s="1"/>
    </row>
    <row r="47" spans="2:10" x14ac:dyDescent="0.25">
      <c r="B47" s="60" t="s">
        <v>82</v>
      </c>
      <c r="C47" s="229"/>
      <c r="D47" s="229"/>
      <c r="E47" s="42"/>
      <c r="G47" s="1"/>
      <c r="H47" s="1"/>
      <c r="I47" s="1"/>
      <c r="J47" s="1"/>
    </row>
    <row r="48" spans="2:10" x14ac:dyDescent="0.25">
      <c r="B48" s="60" t="s">
        <v>83</v>
      </c>
      <c r="C48" s="229"/>
      <c r="D48" s="229"/>
      <c r="E48" s="42"/>
      <c r="G48" s="1"/>
      <c r="H48" s="1"/>
      <c r="I48" s="1"/>
      <c r="J48" s="1"/>
    </row>
    <row r="49" spans="2:11" x14ac:dyDescent="0.25">
      <c r="B49" s="60" t="s">
        <v>84</v>
      </c>
      <c r="C49" s="229"/>
      <c r="D49" s="229"/>
      <c r="E49" s="42"/>
      <c r="G49" s="1"/>
      <c r="H49" s="1"/>
      <c r="I49" s="1"/>
      <c r="J49" s="1"/>
    </row>
    <row r="50" spans="2:11" x14ac:dyDescent="0.25">
      <c r="B50" s="139" t="s">
        <v>163</v>
      </c>
      <c r="C50" s="229"/>
      <c r="D50" s="229"/>
      <c r="E50" s="42"/>
      <c r="G50" s="1"/>
      <c r="H50" s="1"/>
      <c r="I50" s="1"/>
      <c r="J50" s="1"/>
    </row>
    <row r="51" spans="2:11" x14ac:dyDescent="0.2">
      <c r="B51" s="137" t="s">
        <v>335</v>
      </c>
      <c r="C51" s="229"/>
      <c r="D51" s="229"/>
      <c r="E51" s="42"/>
      <c r="G51" s="652" t="str">
        <f>CONCATENATE("Desired Carryover Into ",E1+1,"")</f>
        <v>Desired Carryover Into 2025</v>
      </c>
      <c r="H51" s="653"/>
      <c r="I51" s="653"/>
      <c r="J51" s="654"/>
    </row>
    <row r="52" spans="2:11" x14ac:dyDescent="0.2">
      <c r="B52" s="137" t="s">
        <v>336</v>
      </c>
      <c r="C52" s="229"/>
      <c r="D52" s="229"/>
      <c r="E52" s="42"/>
      <c r="G52" s="292"/>
      <c r="H52" s="293"/>
      <c r="I52" s="294"/>
      <c r="J52" s="295"/>
    </row>
    <row r="53" spans="2:11" x14ac:dyDescent="0.2">
      <c r="B53" s="150" t="s">
        <v>1048</v>
      </c>
      <c r="C53" s="229"/>
      <c r="D53" s="229"/>
      <c r="E53" s="42"/>
      <c r="G53" s="296" t="s">
        <v>284</v>
      </c>
      <c r="H53" s="294"/>
      <c r="I53" s="294"/>
      <c r="J53" s="297">
        <v>0</v>
      </c>
    </row>
    <row r="54" spans="2:11" x14ac:dyDescent="0.2">
      <c r="B54" s="150"/>
      <c r="C54" s="229"/>
      <c r="D54" s="229"/>
      <c r="E54" s="42"/>
      <c r="G54" s="292" t="s">
        <v>285</v>
      </c>
      <c r="H54" s="293"/>
      <c r="I54" s="293"/>
      <c r="J54" s="298" t="str">
        <f>IF(J53=0,"",ROUND((J53+E81-G66)/inputOth!E6*1000,3)-G71)</f>
        <v/>
      </c>
    </row>
    <row r="55" spans="2:11" x14ac:dyDescent="0.2">
      <c r="B55" s="150"/>
      <c r="C55" s="229"/>
      <c r="D55" s="229"/>
      <c r="E55" s="42"/>
      <c r="G55" s="299" t="str">
        <f>CONCATENATE("",E1," Tot Exp/Non-Appr Must Be:")</f>
        <v>2024 Tot Exp/Non-Appr Must Be:</v>
      </c>
      <c r="H55" s="300"/>
      <c r="I55" s="301"/>
      <c r="J55" s="302">
        <f>IF(J53&gt;0,IF(E78&lt;E63,IF(J53=G66,E78,((J53-G66)*(1-D80))+E63),E78+(J53-G66)),0)</f>
        <v>0</v>
      </c>
    </row>
    <row r="56" spans="2:11" x14ac:dyDescent="0.2">
      <c r="B56" s="150"/>
      <c r="C56" s="229"/>
      <c r="D56" s="229"/>
      <c r="E56" s="42"/>
      <c r="G56" s="303" t="s">
        <v>305</v>
      </c>
      <c r="H56" s="304"/>
      <c r="I56" s="304"/>
      <c r="J56" s="305">
        <f>IF(J53&gt;0,J55-E78,0)</f>
        <v>0</v>
      </c>
    </row>
    <row r="57" spans="2:11" x14ac:dyDescent="0.25">
      <c r="B57" s="150"/>
      <c r="C57" s="229"/>
      <c r="D57" s="229"/>
      <c r="E57" s="42"/>
      <c r="G57" s="1"/>
      <c r="H57" s="1"/>
      <c r="I57" s="1"/>
      <c r="J57" s="1"/>
    </row>
    <row r="58" spans="2:11" x14ac:dyDescent="0.2">
      <c r="B58" s="142" t="s">
        <v>87</v>
      </c>
      <c r="C58" s="229"/>
      <c r="D58" s="229"/>
      <c r="E58" s="42"/>
      <c r="G58" s="652" t="str">
        <f>CONCATENATE("Projected Carryover Into ",E1+1,"")</f>
        <v>Projected Carryover Into 2025</v>
      </c>
      <c r="H58" s="660"/>
      <c r="I58" s="660"/>
      <c r="J58" s="659"/>
    </row>
    <row r="59" spans="2:11" x14ac:dyDescent="0.25">
      <c r="B59" s="143" t="s">
        <v>40</v>
      </c>
      <c r="C59" s="229"/>
      <c r="D59" s="229"/>
      <c r="E59" s="42"/>
      <c r="G59" s="321"/>
      <c r="H59" s="293"/>
      <c r="I59" s="293"/>
      <c r="J59" s="316"/>
    </row>
    <row r="60" spans="2:11" x14ac:dyDescent="0.25">
      <c r="B60" s="143" t="s">
        <v>38</v>
      </c>
      <c r="C60" s="229"/>
      <c r="D60" s="229"/>
      <c r="E60" s="42"/>
      <c r="G60" s="312">
        <f>D75</f>
        <v>223303.77</v>
      </c>
      <c r="H60" s="310" t="str">
        <f>CONCATENATE("",E1-1," Ending Cash Balance (est.)")</f>
        <v>2023 Ending Cash Balance (est.)</v>
      </c>
      <c r="I60" s="313"/>
      <c r="J60" s="316"/>
    </row>
    <row r="61" spans="2:11" x14ac:dyDescent="0.25">
      <c r="B61" s="143" t="s">
        <v>278</v>
      </c>
      <c r="C61" s="230" t="str">
        <f>IF(C62*0.1&lt;C60,"Exceed 10% Rule","")</f>
        <v/>
      </c>
      <c r="D61" s="230" t="str">
        <f>IF(D62*0.1&lt;D60,"Exceed 10% Rule","")</f>
        <v/>
      </c>
      <c r="E61" s="170" t="str">
        <f>IF(E62*0.1+E81&lt;E60,"Exceed 10% Rule","")</f>
        <v/>
      </c>
      <c r="G61" s="312">
        <f>E62</f>
        <v>0</v>
      </c>
      <c r="H61" s="294" t="str">
        <f>CONCATENATE("",E1," Non-AV Receipts (est.)")</f>
        <v>2024 Non-AV Receipts (est.)</v>
      </c>
      <c r="I61" s="313"/>
      <c r="J61" s="316"/>
    </row>
    <row r="62" spans="2:11" x14ac:dyDescent="0.25">
      <c r="B62" s="145" t="s">
        <v>88</v>
      </c>
      <c r="C62" s="457">
        <f>SUM(C46:C60)</f>
        <v>0</v>
      </c>
      <c r="D62" s="457">
        <f>SUM(D46:D60)</f>
        <v>0</v>
      </c>
      <c r="E62" s="457">
        <f>SUM(E46:E60)</f>
        <v>0</v>
      </c>
      <c r="G62" s="314">
        <f>IF(E80&gt;0,E79,E81)</f>
        <v>0.23000000001047738</v>
      </c>
      <c r="H62" s="294" t="str">
        <f>CONCATENATE("",E1," Ad Valorem Tax (est.)")</f>
        <v>2024 Ad Valorem Tax (est.)</v>
      </c>
      <c r="I62" s="313"/>
      <c r="J62" s="316"/>
      <c r="K62" s="308" t="str">
        <f>IF(G62=E81,"","Note: Does not include Delinquent Taxes")</f>
        <v/>
      </c>
    </row>
    <row r="63" spans="2:11" x14ac:dyDescent="0.25">
      <c r="B63" s="145" t="s">
        <v>89</v>
      </c>
      <c r="C63" s="457">
        <f>C44+C62</f>
        <v>223303.77</v>
      </c>
      <c r="D63" s="457">
        <f>D44+D62</f>
        <v>223303.77</v>
      </c>
      <c r="E63" s="457">
        <f>E44+E62</f>
        <v>223303.77</v>
      </c>
      <c r="G63" s="322">
        <f>SUM(G60:G62)</f>
        <v>223304</v>
      </c>
      <c r="H63" s="294" t="str">
        <f>CONCATENATE("Total ",E1," Resources Available")</f>
        <v>Total 2024 Resources Available</v>
      </c>
      <c r="I63" s="323"/>
      <c r="J63" s="316"/>
    </row>
    <row r="64" spans="2:11" x14ac:dyDescent="0.25">
      <c r="B64" s="60" t="s">
        <v>92</v>
      </c>
      <c r="C64" s="143"/>
      <c r="D64" s="143"/>
      <c r="E64" s="38"/>
      <c r="G64" s="324"/>
      <c r="H64" s="325"/>
      <c r="I64" s="293"/>
      <c r="J64" s="316"/>
    </row>
    <row r="65" spans="2:10" x14ac:dyDescent="0.25">
      <c r="B65" s="150" t="s">
        <v>994</v>
      </c>
      <c r="C65" s="229"/>
      <c r="D65" s="229"/>
      <c r="E65" s="42"/>
      <c r="G65" s="326">
        <f>ROUND(C74*0.05+C74,0)</f>
        <v>0</v>
      </c>
      <c r="H65" s="294" t="str">
        <f>CONCATENATE("Less ",E1-2," Expenditures + 5%")</f>
        <v>Less 2022 Expenditures + 5%</v>
      </c>
      <c r="I65" s="323"/>
      <c r="J65" s="316"/>
    </row>
    <row r="66" spans="2:10" x14ac:dyDescent="0.25">
      <c r="B66" s="150" t="s">
        <v>1049</v>
      </c>
      <c r="C66" s="229"/>
      <c r="D66" s="229"/>
      <c r="E66" s="42">
        <v>223304</v>
      </c>
      <c r="G66" s="327">
        <f>G63-G65</f>
        <v>223304</v>
      </c>
      <c r="H66" s="318" t="str">
        <f>CONCATENATE("Projected ",E1+1," carryover (est.)")</f>
        <v>Projected 2025 carryover (est.)</v>
      </c>
      <c r="I66" s="328"/>
      <c r="J66" s="329"/>
    </row>
    <row r="67" spans="2:10" x14ac:dyDescent="0.25">
      <c r="B67" s="150"/>
      <c r="C67" s="229"/>
      <c r="D67" s="229"/>
      <c r="E67" s="42"/>
      <c r="G67" s="1"/>
      <c r="H67" s="1"/>
      <c r="I67" s="1"/>
      <c r="J67" s="1"/>
    </row>
    <row r="68" spans="2:10" x14ac:dyDescent="0.2">
      <c r="B68" s="150"/>
      <c r="C68" s="229"/>
      <c r="D68" s="229"/>
      <c r="E68" s="42"/>
      <c r="G68" s="633" t="s">
        <v>543</v>
      </c>
      <c r="H68" s="634"/>
      <c r="I68" s="634"/>
      <c r="J68" s="635"/>
    </row>
    <row r="69" spans="2:10" x14ac:dyDescent="0.2">
      <c r="B69" s="150"/>
      <c r="C69" s="229"/>
      <c r="D69" s="229"/>
      <c r="E69" s="42"/>
      <c r="G69" s="636"/>
      <c r="H69" s="637"/>
      <c r="I69" s="637"/>
      <c r="J69" s="638"/>
    </row>
    <row r="70" spans="2:10" x14ac:dyDescent="0.2">
      <c r="B70" s="150"/>
      <c r="C70" s="229"/>
      <c r="D70" s="229"/>
      <c r="E70" s="42"/>
      <c r="G70" s="504">
        <f>'Budget Hearing Notice'!H40</f>
        <v>0</v>
      </c>
      <c r="H70" s="310" t="str">
        <f>CONCATENATE("",E1," Estimated Fund Mill Rate")</f>
        <v>2024 Estimated Fund Mill Rate</v>
      </c>
      <c r="I70" s="505"/>
      <c r="J70" s="506"/>
    </row>
    <row r="71" spans="2:10" x14ac:dyDescent="0.2">
      <c r="B71" s="143" t="str">
        <f>CONCATENATE("Cash Forward (",E1," column)")</f>
        <v>Cash Forward (2024 column)</v>
      </c>
      <c r="C71" s="229"/>
      <c r="D71" s="229"/>
      <c r="E71" s="42"/>
      <c r="G71" s="507">
        <f>'Budget Hearing Notice'!E40</f>
        <v>0</v>
      </c>
      <c r="H71" s="310" t="str">
        <f>CONCATENATE("",E1-1," Fund Mill Rate")</f>
        <v>2023 Fund Mill Rate</v>
      </c>
      <c r="I71" s="505"/>
      <c r="J71" s="506"/>
    </row>
    <row r="72" spans="2:10" x14ac:dyDescent="0.2">
      <c r="B72" s="143" t="s">
        <v>38</v>
      </c>
      <c r="C72" s="229"/>
      <c r="D72" s="229"/>
      <c r="E72" s="42"/>
      <c r="G72" s="508">
        <f>'Budget Hearing Notice'!H62</f>
        <v>36.917000000000002</v>
      </c>
      <c r="H72" s="509" t="s">
        <v>544</v>
      </c>
      <c r="I72" s="505"/>
      <c r="J72" s="506"/>
    </row>
    <row r="73" spans="2:10" x14ac:dyDescent="0.2">
      <c r="B73" s="143" t="s">
        <v>277</v>
      </c>
      <c r="C73" s="230" t="str">
        <f>IF(C74*0.1&lt;C72,"Exceed 10% Rule","")</f>
        <v/>
      </c>
      <c r="D73" s="230" t="str">
        <f>IF(D74*0.1&lt;D72,"Exceed 10% Rule","")</f>
        <v/>
      </c>
      <c r="E73" s="170" t="str">
        <f>IF(E74*0.1&lt;E72,"Exceed 10% Rule","")</f>
        <v/>
      </c>
      <c r="G73" s="504">
        <f>'Budget Hearing Notice'!H61</f>
        <v>36.917000000000002</v>
      </c>
      <c r="H73" s="310" t="str">
        <f>CONCATENATE(E1," Estimated Total Mill Rate")</f>
        <v>2024 Estimated Total Mill Rate</v>
      </c>
      <c r="I73" s="505"/>
      <c r="J73" s="506"/>
    </row>
    <row r="74" spans="2:10" x14ac:dyDescent="0.2">
      <c r="B74" s="145" t="s">
        <v>93</v>
      </c>
      <c r="C74" s="457">
        <f>SUM(C65:C72)</f>
        <v>0</v>
      </c>
      <c r="D74" s="457">
        <f>SUM(D65:D72)</f>
        <v>0</v>
      </c>
      <c r="E74" s="457">
        <f>SUM(E65:E72)</f>
        <v>223304</v>
      </c>
      <c r="G74" s="510">
        <f>'Budget Hearing Notice'!E61</f>
        <v>36.946999999999996</v>
      </c>
      <c r="H74" s="310" t="str">
        <f>CONCATENATE(E1-1," Total Mill Rate")</f>
        <v>2023 Total Mill Rate</v>
      </c>
      <c r="I74" s="505"/>
      <c r="J74" s="506"/>
    </row>
    <row r="75" spans="2:10" x14ac:dyDescent="0.2">
      <c r="B75" s="60" t="s">
        <v>183</v>
      </c>
      <c r="C75" s="106">
        <f>C63-C74</f>
        <v>223303.77</v>
      </c>
      <c r="D75" s="106">
        <f>D63-D74</f>
        <v>223303.77</v>
      </c>
      <c r="E75" s="165" t="s">
        <v>66</v>
      </c>
      <c r="G75" s="321"/>
      <c r="H75" s="293"/>
      <c r="I75" s="293"/>
      <c r="J75" s="323"/>
    </row>
    <row r="76" spans="2:10" x14ac:dyDescent="0.2">
      <c r="B76" s="135" t="str">
        <f>CONCATENATE("",E1-2,"/",E1-1,"/",E1," Budget Authority Amount:")</f>
        <v>2022/2023/2024 Budget Authority Amount:</v>
      </c>
      <c r="C76" s="167">
        <f>inputOth!B59</f>
        <v>5000</v>
      </c>
      <c r="D76" s="167">
        <v>200000</v>
      </c>
      <c r="E76" s="106">
        <f>E74</f>
        <v>223304</v>
      </c>
      <c r="G76" s="639" t="s">
        <v>545</v>
      </c>
      <c r="H76" s="640"/>
      <c r="I76" s="640"/>
      <c r="J76" s="643" t="str">
        <f>IF(G73&gt;G72, "Yes", "No")</f>
        <v>No</v>
      </c>
    </row>
    <row r="77" spans="2:10" x14ac:dyDescent="0.2">
      <c r="B77" s="125"/>
      <c r="C77" s="647" t="s">
        <v>281</v>
      </c>
      <c r="D77" s="648"/>
      <c r="E77" s="42"/>
      <c r="G77" s="641"/>
      <c r="H77" s="642"/>
      <c r="I77" s="642"/>
      <c r="J77" s="644"/>
    </row>
    <row r="78" spans="2:10" x14ac:dyDescent="0.2">
      <c r="B78" s="263" t="str">
        <f>CONCATENATE(C99,"     ",D99)</f>
        <v xml:space="preserve">     </v>
      </c>
      <c r="C78" s="649" t="s">
        <v>282</v>
      </c>
      <c r="D78" s="650"/>
      <c r="E78" s="106">
        <f>E74+E77</f>
        <v>223304</v>
      </c>
      <c r="G78" s="645" t="str">
        <f>IF(J76="Yes", "Follow procedure prescribed by KSA 79-2988 to exceed the Revenue Neutral Rate.", " ")</f>
        <v xml:space="preserve"> </v>
      </c>
      <c r="H78" s="645"/>
      <c r="I78" s="645"/>
      <c r="J78" s="645"/>
    </row>
    <row r="79" spans="2:10" x14ac:dyDescent="0.2">
      <c r="B79" s="263" t="str">
        <f>CONCATENATE(C100,"     ",D100)</f>
        <v xml:space="preserve">     </v>
      </c>
      <c r="C79" s="152"/>
      <c r="D79" s="90" t="s">
        <v>94</v>
      </c>
      <c r="E79" s="106">
        <f>IF(E78-E63&gt;0,E78-E63,0)</f>
        <v>0.23000000001047738</v>
      </c>
      <c r="F79" s="151"/>
      <c r="G79" s="646"/>
      <c r="H79" s="646"/>
      <c r="I79" s="646"/>
      <c r="J79" s="646"/>
    </row>
    <row r="80" spans="2:10" x14ac:dyDescent="0.2">
      <c r="B80" s="90"/>
      <c r="C80" s="262" t="s">
        <v>283</v>
      </c>
      <c r="D80" s="291">
        <f>inputOth!$E$28</f>
        <v>5.4000000000000003E-3</v>
      </c>
      <c r="E80" s="106">
        <f>ROUND(IF(D80&gt;0,($E$79*D80),0),0)</f>
        <v>0</v>
      </c>
      <c r="F80" s="238" t="str">
        <f>IF(E74/0.95-E74&lt;E77,"Exceeds 5%","")</f>
        <v/>
      </c>
      <c r="G80" s="646"/>
      <c r="H80" s="646"/>
      <c r="I80" s="646"/>
      <c r="J80" s="646"/>
    </row>
    <row r="81" spans="2:5" x14ac:dyDescent="0.2">
      <c r="B81" s="26"/>
      <c r="C81" s="631" t="str">
        <f>CONCATENATE("Amount of  ",$E$1-1," Ad Valorem Tax")</f>
        <v>Amount of  2023 Ad Valorem Tax</v>
      </c>
      <c r="D81" s="651"/>
      <c r="E81" s="106">
        <f>E79+E80</f>
        <v>0.23000000001047738</v>
      </c>
    </row>
    <row r="82" spans="2:5" x14ac:dyDescent="0.2">
      <c r="B82" s="26"/>
      <c r="C82" s="125"/>
      <c r="D82" s="26"/>
      <c r="E82" s="125"/>
    </row>
    <row r="83" spans="2:5" x14ac:dyDescent="0.2">
      <c r="B83" s="417" t="s">
        <v>341</v>
      </c>
      <c r="C83" s="396"/>
      <c r="D83" s="341"/>
      <c r="E83" s="403"/>
    </row>
    <row r="84" spans="2:5" x14ac:dyDescent="0.2">
      <c r="B84" s="126"/>
      <c r="C84" s="125"/>
      <c r="D84" s="26"/>
      <c r="E84" s="404"/>
    </row>
    <row r="85" spans="2:5" x14ac:dyDescent="0.2">
      <c r="B85" s="397"/>
      <c r="C85" s="402"/>
      <c r="D85" s="44"/>
      <c r="E85" s="405"/>
    </row>
    <row r="86" spans="2:5" x14ac:dyDescent="0.2">
      <c r="B86" s="26"/>
      <c r="C86" s="125"/>
      <c r="D86" s="26"/>
      <c r="E86" s="125"/>
    </row>
    <row r="87" spans="2:5" x14ac:dyDescent="0.2">
      <c r="B87" s="125" t="s">
        <v>133</v>
      </c>
      <c r="C87" s="362">
        <v>18</v>
      </c>
      <c r="D87" s="26"/>
      <c r="E87" s="26"/>
    </row>
    <row r="95" spans="2:5" hidden="1" x14ac:dyDescent="0.2"/>
    <row r="96" spans="2:5" hidden="1" x14ac:dyDescent="0.2"/>
    <row r="97" spans="3:4" hidden="1" x14ac:dyDescent="0.2">
      <c r="C97" s="23" t="str">
        <f>IF(C33&gt;C35,"See Tab A","")</f>
        <v/>
      </c>
      <c r="D97" s="23" t="str">
        <f>IF(D33&gt;D35,"See Tab C","")</f>
        <v/>
      </c>
    </row>
    <row r="98" spans="3:4" hidden="1" x14ac:dyDescent="0.2">
      <c r="C98" s="23" t="str">
        <f>IF(C34&lt;0,"See Tab B","")</f>
        <v/>
      </c>
      <c r="D98" s="23" t="str">
        <f>IF(D34&lt;0,"See Tab D","")</f>
        <v/>
      </c>
    </row>
    <row r="99" spans="3:4" x14ac:dyDescent="0.2">
      <c r="C99" s="23" t="str">
        <f>IF(C74&gt;C76,"See Tab A","")</f>
        <v/>
      </c>
      <c r="D99" s="23" t="str">
        <f>IF(D74&gt;D76,"See Tab C","")</f>
        <v/>
      </c>
    </row>
    <row r="100" spans="3:4" x14ac:dyDescent="0.2">
      <c r="C100" s="23" t="str">
        <f>IF(C75&lt;0,"See Tab B","")</f>
        <v/>
      </c>
      <c r="D100" s="23" t="str">
        <f>IF(D75&lt;0,"See Tab D","")</f>
        <v/>
      </c>
    </row>
  </sheetData>
  <mergeCells count="18">
    <mergeCell ref="G9:J9"/>
    <mergeCell ref="G16:J16"/>
    <mergeCell ref="G51:J51"/>
    <mergeCell ref="G58:J58"/>
    <mergeCell ref="C81:D81"/>
    <mergeCell ref="C40:D40"/>
    <mergeCell ref="G26:J27"/>
    <mergeCell ref="G34:I35"/>
    <mergeCell ref="J34:J35"/>
    <mergeCell ref="G36:J38"/>
    <mergeCell ref="G68:J69"/>
    <mergeCell ref="G76:I77"/>
    <mergeCell ref="J76:J77"/>
    <mergeCell ref="G78:J80"/>
    <mergeCell ref="C36:D36"/>
    <mergeCell ref="C37:D37"/>
    <mergeCell ref="C77:D77"/>
    <mergeCell ref="C78:D78"/>
  </mergeCells>
  <phoneticPr fontId="0" type="noConversion"/>
  <conditionalFormatting sqref="E72">
    <cfRule type="cellIs" dxfId="123" priority="13" stopIfTrue="1" operator="greaterThan">
      <formula>$E$74*0.1</formula>
    </cfRule>
  </conditionalFormatting>
  <conditionalFormatting sqref="E77">
    <cfRule type="cellIs" dxfId="122" priority="14" stopIfTrue="1" operator="greaterThan">
      <formula>$E$74/0.95-$E$74</formula>
    </cfRule>
  </conditionalFormatting>
  <conditionalFormatting sqref="E36">
    <cfRule type="cellIs" dxfId="121" priority="15" stopIfTrue="1" operator="greaterThan">
      <formula>$E$33/0.95-$E$33</formula>
    </cfRule>
  </conditionalFormatting>
  <conditionalFormatting sqref="E31">
    <cfRule type="cellIs" dxfId="120" priority="16" stopIfTrue="1" operator="greaterThan">
      <formula>$E$33*0.1</formula>
    </cfRule>
  </conditionalFormatting>
  <conditionalFormatting sqref="C72">
    <cfRule type="cellIs" dxfId="119" priority="20" stopIfTrue="1" operator="greaterThan">
      <formula>$C$74*0.1</formula>
    </cfRule>
  </conditionalFormatting>
  <conditionalFormatting sqref="D72">
    <cfRule type="cellIs" dxfId="118" priority="21" stopIfTrue="1" operator="greaterThan">
      <formula>$D$74*0.1</formula>
    </cfRule>
  </conditionalFormatting>
  <conditionalFormatting sqref="E60">
    <cfRule type="cellIs" dxfId="117" priority="22" stopIfTrue="1" operator="greaterThan">
      <formula>$E$62*0.1+E81</formula>
    </cfRule>
  </conditionalFormatting>
  <conditionalFormatting sqref="C60">
    <cfRule type="cellIs" dxfId="116" priority="23" stopIfTrue="1" operator="greaterThan">
      <formula>$C$62*0.1</formula>
    </cfRule>
  </conditionalFormatting>
  <conditionalFormatting sqref="D60">
    <cfRule type="cellIs" dxfId="115" priority="24" stopIfTrue="1" operator="greaterThan">
      <formula>$D$62*0.1</formula>
    </cfRule>
  </conditionalFormatting>
  <conditionalFormatting sqref="C31">
    <cfRule type="cellIs" dxfId="114" priority="27" stopIfTrue="1" operator="greaterThan">
      <formula>$C$33*0.1</formula>
    </cfRule>
  </conditionalFormatting>
  <conditionalFormatting sqref="D31">
    <cfRule type="cellIs" dxfId="113" priority="28" stopIfTrue="1" operator="greaterThan">
      <formula>$D$33*0.1</formula>
    </cfRule>
  </conditionalFormatting>
  <conditionalFormatting sqref="E20">
    <cfRule type="cellIs" dxfId="112" priority="29" stopIfTrue="1" operator="greaterThan">
      <formula>$E$22*0.1+E40</formula>
    </cfRule>
  </conditionalFormatting>
  <conditionalFormatting sqref="C20">
    <cfRule type="cellIs" dxfId="111" priority="30" stopIfTrue="1" operator="greaterThan">
      <formula>$C$22*0.1</formula>
    </cfRule>
  </conditionalFormatting>
  <conditionalFormatting sqref="D20">
    <cfRule type="cellIs" dxfId="110" priority="31" stopIfTrue="1" operator="greaterThan">
      <formula>$D$22*0.1</formula>
    </cfRule>
  </conditionalFormatting>
  <conditionalFormatting sqref="J34">
    <cfRule type="containsText" dxfId="109" priority="10" operator="containsText" text="Yes">
      <formula>NOT(ISERROR(SEARCH("Yes",J34)))</formula>
    </cfRule>
  </conditionalFormatting>
  <conditionalFormatting sqref="J76">
    <cfRule type="containsText" dxfId="108" priority="9" operator="containsText" text="Yes">
      <formula>NOT(ISERROR(SEARCH("Yes",J76)))</formula>
    </cfRule>
  </conditionalFormatting>
  <conditionalFormatting sqref="C33">
    <cfRule type="cellIs" dxfId="107" priority="8" stopIfTrue="1" operator="greaterThan">
      <formula>$C$35</formula>
    </cfRule>
  </conditionalFormatting>
  <conditionalFormatting sqref="D33">
    <cfRule type="cellIs" dxfId="106" priority="7" stopIfTrue="1" operator="greaterThan">
      <formula>$D$35</formula>
    </cfRule>
  </conditionalFormatting>
  <conditionalFormatting sqref="C34">
    <cfRule type="cellIs" dxfId="105" priority="6" stopIfTrue="1" operator="lessThan">
      <formula>0</formula>
    </cfRule>
  </conditionalFormatting>
  <conditionalFormatting sqref="D34">
    <cfRule type="cellIs" dxfId="104" priority="5" stopIfTrue="1" operator="lessThan">
      <formula>0</formula>
    </cfRule>
  </conditionalFormatting>
  <conditionalFormatting sqref="C74">
    <cfRule type="cellIs" dxfId="103" priority="4" stopIfTrue="1" operator="greaterThan">
      <formula>$C$76</formula>
    </cfRule>
  </conditionalFormatting>
  <conditionalFormatting sqref="D74">
    <cfRule type="cellIs" dxfId="102" priority="3" stopIfTrue="1" operator="greaterThan">
      <formula>$D$76</formula>
    </cfRule>
  </conditionalFormatting>
  <conditionalFormatting sqref="C75">
    <cfRule type="cellIs" dxfId="101" priority="2" stopIfTrue="1" operator="lessThan">
      <formula>0</formula>
    </cfRule>
  </conditionalFormatting>
  <conditionalFormatting sqref="D75">
    <cfRule type="cellIs" dxfId="100" priority="1" stopIfTrue="1" operator="lessThan">
      <formula>0</formula>
    </cfRule>
  </conditionalFormatting>
  <pageMargins left="1.1200000000000001" right="0.5" top="0.74" bottom="0.34" header="0.5" footer="0"/>
  <pageSetup scale="50" orientation="portrait" blackAndWhite="1" horizontalDpi="300" verticalDpi="300" r:id="rId1"/>
  <headerFooter alignWithMargins="0">
    <oddHeader xml:space="preserve">&amp;RState of Kansas
County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pageSetUpPr fitToPage="1"/>
  </sheetPr>
  <dimension ref="B1:E64"/>
  <sheetViews>
    <sheetView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t="s">
        <v>1050</v>
      </c>
      <c r="C6" s="104" t="str">
        <f>General!C5</f>
        <v>Actual for 2022</v>
      </c>
      <c r="D6" s="104" t="str">
        <f>General!D5</f>
        <v>Estimate for 2023</v>
      </c>
      <c r="E6" s="136" t="str">
        <f>General!E5</f>
        <v>Year for 2024</v>
      </c>
    </row>
    <row r="7" spans="2:5" x14ac:dyDescent="0.2">
      <c r="B7" s="60" t="s">
        <v>182</v>
      </c>
      <c r="C7" s="42">
        <v>120210</v>
      </c>
      <c r="D7" s="106">
        <f>C28</f>
        <v>151445</v>
      </c>
      <c r="E7" s="106">
        <f>D28</f>
        <v>114275</v>
      </c>
    </row>
    <row r="8" spans="2:5" x14ac:dyDescent="0.2">
      <c r="B8" s="164" t="s">
        <v>184</v>
      </c>
      <c r="C8" s="38"/>
      <c r="D8" s="38"/>
      <c r="E8" s="38"/>
    </row>
    <row r="9" spans="2:5" x14ac:dyDescent="0.2">
      <c r="B9" s="150" t="s">
        <v>1050</v>
      </c>
      <c r="C9" s="42">
        <v>60071</v>
      </c>
      <c r="D9" s="42">
        <v>62830</v>
      </c>
      <c r="E9" s="42">
        <v>60000</v>
      </c>
    </row>
    <row r="10" spans="2:5" x14ac:dyDescent="0.2">
      <c r="B10" s="150"/>
      <c r="C10" s="42"/>
      <c r="D10" s="42"/>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60071</v>
      </c>
      <c r="D15" s="457">
        <f>SUM(D9:D13)</f>
        <v>62830</v>
      </c>
      <c r="E15" s="457">
        <f>SUM(E9:E13)</f>
        <v>60000</v>
      </c>
    </row>
    <row r="16" spans="2:5" x14ac:dyDescent="0.2">
      <c r="B16" s="145" t="s">
        <v>89</v>
      </c>
      <c r="C16" s="457">
        <f>C15+C7</f>
        <v>180281</v>
      </c>
      <c r="D16" s="457">
        <f>D15+D7</f>
        <v>214275</v>
      </c>
      <c r="E16" s="457">
        <f>E15+E7</f>
        <v>174275</v>
      </c>
    </row>
    <row r="17" spans="2:5" x14ac:dyDescent="0.2">
      <c r="B17" s="60" t="s">
        <v>92</v>
      </c>
      <c r="C17" s="106"/>
      <c r="D17" s="106"/>
      <c r="E17" s="106"/>
    </row>
    <row r="18" spans="2:5" x14ac:dyDescent="0.2">
      <c r="B18" s="150" t="s">
        <v>1051</v>
      </c>
      <c r="C18" s="42">
        <v>28836</v>
      </c>
      <c r="D18" s="42">
        <v>100000</v>
      </c>
      <c r="E18" s="42">
        <v>100000</v>
      </c>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28836</v>
      </c>
      <c r="D27" s="457">
        <f>SUM(D18:D25)</f>
        <v>100000</v>
      </c>
      <c r="E27" s="457">
        <f>SUM(E18:E25)</f>
        <v>100000</v>
      </c>
    </row>
    <row r="28" spans="2:5" x14ac:dyDescent="0.2">
      <c r="B28" s="60" t="s">
        <v>183</v>
      </c>
      <c r="C28" s="106">
        <f>C16-C27</f>
        <v>151445</v>
      </c>
      <c r="D28" s="106">
        <f>D16-D27</f>
        <v>114275</v>
      </c>
      <c r="E28" s="106">
        <f>E16-E27</f>
        <v>74275</v>
      </c>
    </row>
    <row r="29" spans="2:5" x14ac:dyDescent="0.2">
      <c r="B29" s="135" t="str">
        <f>CONCATENATE("",E1-2,"/",E1-1,"/",E1," Budget Authority Amount:")</f>
        <v>2022/2023/2024 Budget Authority Amount:</v>
      </c>
      <c r="C29" s="167">
        <v>75000</v>
      </c>
      <c r="D29" s="167">
        <v>100000</v>
      </c>
      <c r="E29" s="338">
        <f>E27</f>
        <v>100000</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6" t="s">
        <v>948</v>
      </c>
      <c r="C35" s="104" t="str">
        <f t="shared" si="0"/>
        <v>Actual for 2022</v>
      </c>
      <c r="D35" s="104" t="str">
        <f t="shared" si="0"/>
        <v>Estimate for 2023</v>
      </c>
      <c r="E35" s="136" t="str">
        <f t="shared" si="0"/>
        <v>Year for 2024</v>
      </c>
    </row>
    <row r="36" spans="2:5" x14ac:dyDescent="0.2">
      <c r="B36" s="60" t="s">
        <v>182</v>
      </c>
      <c r="C36" s="42">
        <v>71117</v>
      </c>
      <c r="D36" s="106">
        <f>C57</f>
        <v>99867</v>
      </c>
      <c r="E36" s="106">
        <f>D57</f>
        <v>60300</v>
      </c>
    </row>
    <row r="37" spans="2:5" x14ac:dyDescent="0.2">
      <c r="B37" s="60" t="s">
        <v>184</v>
      </c>
      <c r="C37" s="38"/>
      <c r="D37" s="38"/>
      <c r="E37" s="38"/>
    </row>
    <row r="38" spans="2:5" x14ac:dyDescent="0.2">
      <c r="B38" s="150" t="s">
        <v>1052</v>
      </c>
      <c r="C38" s="42">
        <v>150000</v>
      </c>
      <c r="D38" s="42">
        <v>150000</v>
      </c>
      <c r="E38" s="42">
        <v>150000</v>
      </c>
    </row>
    <row r="39" spans="2:5" x14ac:dyDescent="0.2">
      <c r="B39" s="150" t="s">
        <v>1053</v>
      </c>
      <c r="C39" s="42">
        <v>73750</v>
      </c>
      <c r="D39" s="42">
        <v>10433</v>
      </c>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223750</v>
      </c>
      <c r="D44" s="457">
        <f>SUM(D38:D42)</f>
        <v>160433</v>
      </c>
      <c r="E44" s="457">
        <f>SUM(E38:E42)</f>
        <v>150000</v>
      </c>
    </row>
    <row r="45" spans="2:5" x14ac:dyDescent="0.2">
      <c r="B45" s="145" t="s">
        <v>89</v>
      </c>
      <c r="C45" s="457">
        <f>C36+C44</f>
        <v>294867</v>
      </c>
      <c r="D45" s="457">
        <f>D36+D44</f>
        <v>260300</v>
      </c>
      <c r="E45" s="457">
        <f>E36+E44</f>
        <v>210300</v>
      </c>
    </row>
    <row r="46" spans="2:5" x14ac:dyDescent="0.2">
      <c r="B46" s="60" t="s">
        <v>92</v>
      </c>
      <c r="C46" s="106"/>
      <c r="D46" s="106"/>
      <c r="E46" s="106"/>
    </row>
    <row r="47" spans="2:5" x14ac:dyDescent="0.2">
      <c r="B47" s="150" t="s">
        <v>1054</v>
      </c>
      <c r="C47" s="42">
        <v>195000</v>
      </c>
      <c r="D47" s="42">
        <v>200000</v>
      </c>
      <c r="E47" s="42">
        <v>200000</v>
      </c>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43" t="str">
        <f>CONCATENATE("Cash Forward (",E1," column)")</f>
        <v>Cash Forward (2024 column)</v>
      </c>
      <c r="C53" s="42"/>
      <c r="D53" s="42"/>
      <c r="E53" s="42"/>
    </row>
    <row r="54" spans="2:5" x14ac:dyDescent="0.2">
      <c r="B54" s="143" t="s">
        <v>38</v>
      </c>
      <c r="C54" s="42"/>
      <c r="D54" s="138"/>
      <c r="E54" s="138"/>
    </row>
    <row r="55" spans="2:5" x14ac:dyDescent="0.2">
      <c r="B55" s="143" t="s">
        <v>277</v>
      </c>
      <c r="C55" s="243" t="str">
        <f>IF(C56*0.1&lt;C54,"Exceed 10% Rule","")</f>
        <v/>
      </c>
      <c r="D55" s="144" t="str">
        <f>IF(D56*0.1&lt;D54,"Exceed 10% Rule","")</f>
        <v/>
      </c>
      <c r="E55" s="144" t="str">
        <f>IF(E56*0.1&lt;E54,"Exceed 10% Rule","")</f>
        <v/>
      </c>
    </row>
    <row r="56" spans="2:5" x14ac:dyDescent="0.2">
      <c r="B56" s="145" t="s">
        <v>93</v>
      </c>
      <c r="C56" s="457">
        <f>SUM(C47:C54)</f>
        <v>195000</v>
      </c>
      <c r="D56" s="457">
        <f>SUM(D47:D54)</f>
        <v>200000</v>
      </c>
      <c r="E56" s="457">
        <f>SUM(E47:E54)</f>
        <v>200000</v>
      </c>
    </row>
    <row r="57" spans="2:5" x14ac:dyDescent="0.2">
      <c r="B57" s="60" t="s">
        <v>183</v>
      </c>
      <c r="C57" s="106">
        <f>C45-C56</f>
        <v>99867</v>
      </c>
      <c r="D57" s="106">
        <f>D45-D56</f>
        <v>60300</v>
      </c>
      <c r="E57" s="106">
        <f>E45-E56</f>
        <v>10300</v>
      </c>
    </row>
    <row r="58" spans="2:5" x14ac:dyDescent="0.2">
      <c r="B58" s="135" t="str">
        <f>CONCATENATE("",E1-2,"/",E1-1,"/",E1," Budget Authority Amount:")</f>
        <v>2022/2023/2024 Budget Authority Amount:</v>
      </c>
      <c r="C58" s="167">
        <v>200000</v>
      </c>
      <c r="D58" s="167">
        <v>200000</v>
      </c>
      <c r="E58" s="338">
        <f>E56</f>
        <v>200000</v>
      </c>
    </row>
    <row r="59" spans="2:5" x14ac:dyDescent="0.2">
      <c r="B59" s="125"/>
      <c r="C59" s="152" t="str">
        <f>IF(C56&gt;C58,"See Tab A","")</f>
        <v/>
      </c>
      <c r="D59" s="152" t="str">
        <f>IF(D56&gt;D58,"See Tab C","")</f>
        <v/>
      </c>
      <c r="E59" s="340" t="str">
        <f>IF(E57&lt;0,"See Tab E","")</f>
        <v/>
      </c>
    </row>
    <row r="60" spans="2:5" x14ac:dyDescent="0.2">
      <c r="B60" s="419" t="s">
        <v>341</v>
      </c>
      <c r="C60" s="340"/>
      <c r="D60" s="340"/>
      <c r="E60" s="409"/>
    </row>
    <row r="61" spans="2:5" x14ac:dyDescent="0.2">
      <c r="B61" s="410"/>
      <c r="C61" s="152"/>
      <c r="D61" s="152"/>
      <c r="E61" s="411"/>
    </row>
    <row r="62" spans="2:5" x14ac:dyDescent="0.2">
      <c r="B62" s="412"/>
      <c r="C62" s="413" t="str">
        <f>IF(C57&lt;0,"See Tab B","")</f>
        <v/>
      </c>
      <c r="D62" s="413" t="str">
        <f>IF(D57&lt;0,"See Tab D","")</f>
        <v/>
      </c>
      <c r="E62" s="47"/>
    </row>
    <row r="63" spans="2:5" x14ac:dyDescent="0.2">
      <c r="B63" s="26"/>
      <c r="C63" s="26"/>
      <c r="D63" s="26"/>
      <c r="E63" s="26"/>
    </row>
    <row r="64" spans="2:5" x14ac:dyDescent="0.2">
      <c r="B64" s="125" t="s">
        <v>133</v>
      </c>
      <c r="C64" s="362">
        <v>19</v>
      </c>
      <c r="D64" s="26"/>
      <c r="E64" s="26"/>
    </row>
  </sheetData>
  <phoneticPr fontId="0" type="noConversion"/>
  <conditionalFormatting sqref="C25">
    <cfRule type="cellIs" dxfId="99" priority="7" stopIfTrue="1" operator="greaterThan">
      <formula>$C$27*0.1</formula>
    </cfRule>
  </conditionalFormatting>
  <conditionalFormatting sqref="D25">
    <cfRule type="cellIs" dxfId="98" priority="8" stopIfTrue="1" operator="greaterThan">
      <formula>$D$27*0.1</formula>
    </cfRule>
  </conditionalFormatting>
  <conditionalFormatting sqref="E25">
    <cfRule type="cellIs" dxfId="97" priority="9" stopIfTrue="1" operator="greaterThan">
      <formula>$E$27*0.1</formula>
    </cfRule>
  </conditionalFormatting>
  <conditionalFormatting sqref="C13">
    <cfRule type="cellIs" dxfId="96" priority="10" stopIfTrue="1" operator="greaterThan">
      <formula>$C$15*0.1</formula>
    </cfRule>
  </conditionalFormatting>
  <conditionalFormatting sqref="D13">
    <cfRule type="cellIs" dxfId="95" priority="11" stopIfTrue="1" operator="greaterThan">
      <formula>$D$15*0.1</formula>
    </cfRule>
  </conditionalFormatting>
  <conditionalFormatting sqref="E13">
    <cfRule type="cellIs" dxfId="94" priority="12" stopIfTrue="1" operator="greaterThan">
      <formula>$E$15*0.1</formula>
    </cfRule>
  </conditionalFormatting>
  <conditionalFormatting sqref="C42">
    <cfRule type="cellIs" dxfId="93" priority="13" stopIfTrue="1" operator="greaterThan">
      <formula>$C$44*0.1</formula>
    </cfRule>
  </conditionalFormatting>
  <conditionalFormatting sqref="D42">
    <cfRule type="cellIs" dxfId="92" priority="14" stopIfTrue="1" operator="greaterThan">
      <formula>$D$44*0.1</formula>
    </cfRule>
  </conditionalFormatting>
  <conditionalFormatting sqref="E42">
    <cfRule type="cellIs" dxfId="91" priority="15" stopIfTrue="1" operator="greaterThan">
      <formula>$E$44*0.1</formula>
    </cfRule>
  </conditionalFormatting>
  <conditionalFormatting sqref="C54">
    <cfRule type="cellIs" dxfId="90" priority="16" stopIfTrue="1" operator="greaterThan">
      <formula>$C$56*0.1</formula>
    </cfRule>
  </conditionalFormatting>
  <conditionalFormatting sqref="D54">
    <cfRule type="cellIs" dxfId="89" priority="17" stopIfTrue="1" operator="greaterThan">
      <formula>$D$56*0.1</formula>
    </cfRule>
  </conditionalFormatting>
  <conditionalFormatting sqref="E54">
    <cfRule type="cellIs" dxfId="88" priority="18" stopIfTrue="1" operator="greaterThan">
      <formula>$E$56*0.1</formula>
    </cfRule>
  </conditionalFormatting>
  <pageMargins left="1.1200000000000001" right="0.5" top="0.74" bottom="0.34" header="0.5" footer="0"/>
  <pageSetup scale="71" orientation="portrait" blackAndWhite="1" r:id="rId1"/>
  <headerFooter alignWithMargins="0">
    <oddHeader xml:space="preserve">&amp;RState of Kansas
County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75"/>
  <sheetViews>
    <sheetView workbookViewId="0">
      <selection activeCell="E16" sqref="E16"/>
    </sheetView>
  </sheetViews>
  <sheetFormatPr defaultRowHeight="15.75" x14ac:dyDescent="0.2"/>
  <cols>
    <col min="1" max="1" width="15.77734375" style="23" customWidth="1"/>
    <col min="2" max="2" width="20.77734375" style="23" customWidth="1"/>
    <col min="3" max="3" width="9.77734375" style="23" customWidth="1"/>
    <col min="4" max="4" width="15.33203125" style="23" customWidth="1"/>
    <col min="5" max="5" width="15.77734375" style="23" customWidth="1"/>
    <col min="6" max="16384" width="8.88671875" style="23"/>
  </cols>
  <sheetData>
    <row r="1" spans="1:5" x14ac:dyDescent="0.2">
      <c r="A1" s="57" t="str">
        <f>inputPrYr!C3</f>
        <v>Doniphan County</v>
      </c>
      <c r="B1" s="26"/>
      <c r="C1" s="26"/>
      <c r="D1" s="26"/>
      <c r="E1" s="26">
        <f>inputPrYr!C5</f>
        <v>2024</v>
      </c>
    </row>
    <row r="2" spans="1:5" x14ac:dyDescent="0.2">
      <c r="A2" s="57"/>
      <c r="B2" s="26"/>
      <c r="C2" s="26"/>
      <c r="D2" s="26"/>
      <c r="E2" s="26"/>
    </row>
    <row r="3" spans="1:5" x14ac:dyDescent="0.2">
      <c r="A3" s="551" t="s">
        <v>318</v>
      </c>
      <c r="B3" s="552"/>
      <c r="C3" s="552"/>
      <c r="D3" s="552"/>
      <c r="E3" s="552"/>
    </row>
    <row r="4" spans="1:5" x14ac:dyDescent="0.2">
      <c r="A4" s="26"/>
      <c r="B4" s="26"/>
      <c r="C4" s="26"/>
      <c r="D4" s="26"/>
      <c r="E4" s="26"/>
    </row>
    <row r="5" spans="1:5" x14ac:dyDescent="0.2">
      <c r="A5" s="356" t="str">
        <f>CONCATENATE("From the County Clerk's ",E1," Budget Information:")</f>
        <v>From the County Clerk's 2024 Budget Information:</v>
      </c>
      <c r="B5" s="357"/>
      <c r="C5" s="347"/>
      <c r="D5" s="26"/>
      <c r="E5" s="49"/>
    </row>
    <row r="6" spans="1:5" x14ac:dyDescent="0.2">
      <c r="A6" s="58" t="str">
        <f>CONCATENATE("Total Assessed Valuation for ",E1-1,"")</f>
        <v>Total Assessed Valuation for 2023</v>
      </c>
      <c r="B6" s="51"/>
      <c r="C6" s="51"/>
      <c r="D6" s="51"/>
      <c r="E6" s="42">
        <v>158485220</v>
      </c>
    </row>
    <row r="7" spans="1:5" hidden="1" x14ac:dyDescent="0.2">
      <c r="A7" s="58" t="str">
        <f>CONCATENATE("New Improvements, Remodeling and Renovations for ",E1-1,"")</f>
        <v>New Improvements, Remodeling and Renovations for 2023</v>
      </c>
      <c r="B7" s="51"/>
      <c r="C7" s="51"/>
      <c r="D7" s="51"/>
      <c r="E7" s="59"/>
    </row>
    <row r="8" spans="1:5" hidden="1" x14ac:dyDescent="0.2">
      <c r="A8" s="58" t="str">
        <f>CONCATENATE("Personal Property - ",E1-1,"")</f>
        <v>Personal Property - 2023</v>
      </c>
      <c r="B8" s="51"/>
      <c r="C8" s="51"/>
      <c r="D8" s="51"/>
      <c r="E8" s="59"/>
    </row>
    <row r="9" spans="1:5" hidden="1" x14ac:dyDescent="0.2">
      <c r="A9" s="58" t="str">
        <f>CONCATENATE("Property that has changed in use for ",E1-1,"")</f>
        <v>Property that has changed in use for 2023</v>
      </c>
      <c r="B9" s="51"/>
      <c r="C9" s="51"/>
      <c r="D9" s="51"/>
      <c r="E9" s="59"/>
    </row>
    <row r="10" spans="1:5" hidden="1" x14ac:dyDescent="0.2">
      <c r="A10" s="58" t="str">
        <f>CONCATENATE("Personal Property - ",E1-2,"")</f>
        <v>Personal Property - 2022</v>
      </c>
      <c r="B10" s="51"/>
      <c r="C10" s="51"/>
      <c r="D10" s="51"/>
      <c r="E10" s="59"/>
    </row>
    <row r="11" spans="1:5" hidden="1" x14ac:dyDescent="0.2">
      <c r="A11" s="58" t="s">
        <v>343</v>
      </c>
      <c r="B11" s="51"/>
      <c r="C11" s="51"/>
      <c r="D11" s="51"/>
      <c r="E11" s="59"/>
    </row>
    <row r="12" spans="1:5" x14ac:dyDescent="0.2">
      <c r="A12" s="58" t="str">
        <f>CONCATENATE("Gross earnings (intangible) tax esitmate for ",E1,"")</f>
        <v>Gross earnings (intangible) tax esitmate for 2024</v>
      </c>
      <c r="B12" s="51"/>
      <c r="C12" s="51"/>
      <c r="D12" s="51"/>
      <c r="E12" s="42">
        <v>9372</v>
      </c>
    </row>
    <row r="13" spans="1:5" x14ac:dyDescent="0.2">
      <c r="A13" s="60" t="s">
        <v>198</v>
      </c>
      <c r="B13" s="51"/>
      <c r="C13" s="51"/>
      <c r="D13" s="45"/>
      <c r="E13" s="42">
        <v>4337254</v>
      </c>
    </row>
    <row r="14" spans="1:5" x14ac:dyDescent="0.2">
      <c r="A14" s="25"/>
      <c r="B14" s="293"/>
      <c r="C14" s="293"/>
      <c r="D14" s="293"/>
      <c r="E14" s="293"/>
    </row>
    <row r="15" spans="1:5" x14ac:dyDescent="0.2">
      <c r="A15" s="423" t="s">
        <v>345</v>
      </c>
      <c r="B15" s="293"/>
      <c r="C15" s="293"/>
      <c r="D15" s="293"/>
      <c r="E15" s="422">
        <v>36.917000000000002</v>
      </c>
    </row>
    <row r="16" spans="1:5" x14ac:dyDescent="0.2">
      <c r="A16" s="26"/>
      <c r="B16" s="26"/>
      <c r="C16" s="26"/>
      <c r="D16" s="32"/>
      <c r="E16" s="32"/>
    </row>
    <row r="17" spans="1:5" x14ac:dyDescent="0.2">
      <c r="A17" s="356" t="str">
        <f>CONCATENATE("From the County Treasurer's ",E1," Budget Information:")</f>
        <v>From the County Treasurer's 2024 Budget Information:</v>
      </c>
      <c r="B17" s="357"/>
      <c r="C17" s="358"/>
      <c r="D17" s="49"/>
      <c r="E17" s="49"/>
    </row>
    <row r="18" spans="1:5" x14ac:dyDescent="0.2">
      <c r="A18" s="43" t="s">
        <v>55</v>
      </c>
      <c r="B18" s="44"/>
      <c r="C18" s="44"/>
      <c r="D18" s="61"/>
      <c r="E18" s="375">
        <v>332765</v>
      </c>
    </row>
    <row r="19" spans="1:5" x14ac:dyDescent="0.2">
      <c r="A19" s="58" t="s">
        <v>56</v>
      </c>
      <c r="B19" s="51"/>
      <c r="C19" s="51"/>
      <c r="D19" s="62"/>
      <c r="E19" s="375">
        <v>7508</v>
      </c>
    </row>
    <row r="20" spans="1:5" x14ac:dyDescent="0.2">
      <c r="A20" s="58" t="s">
        <v>176</v>
      </c>
      <c r="B20" s="51"/>
      <c r="C20" s="51"/>
      <c r="D20" s="62"/>
      <c r="E20" s="375">
        <v>62509</v>
      </c>
    </row>
    <row r="21" spans="1:5" x14ac:dyDescent="0.2">
      <c r="A21" s="376" t="s">
        <v>324</v>
      </c>
      <c r="B21" s="51"/>
      <c r="C21" s="51"/>
      <c r="D21" s="63"/>
      <c r="E21" s="375">
        <v>19326</v>
      </c>
    </row>
    <row r="22" spans="1:5" x14ac:dyDescent="0.2">
      <c r="A22" s="376" t="s">
        <v>325</v>
      </c>
      <c r="B22" s="51"/>
      <c r="C22" s="51"/>
      <c r="D22" s="63"/>
      <c r="E22" s="375">
        <v>3917</v>
      </c>
    </row>
    <row r="23" spans="1:5" x14ac:dyDescent="0.2">
      <c r="A23" s="58" t="s">
        <v>199</v>
      </c>
      <c r="B23" s="51"/>
      <c r="C23" s="51"/>
      <c r="D23" s="63"/>
      <c r="E23" s="42"/>
    </row>
    <row r="24" spans="1:5" x14ac:dyDescent="0.2">
      <c r="A24" s="58" t="s">
        <v>200</v>
      </c>
      <c r="B24" s="51"/>
      <c r="C24" s="51"/>
      <c r="D24" s="63"/>
      <c r="E24" s="42"/>
    </row>
    <row r="25" spans="1:5" x14ac:dyDescent="0.2">
      <c r="A25" s="26"/>
      <c r="B25" s="26"/>
      <c r="C25" s="26"/>
      <c r="D25" s="26"/>
      <c r="E25" s="26"/>
    </row>
    <row r="26" spans="1:5" x14ac:dyDescent="0.2">
      <c r="A26" s="64" t="s">
        <v>201</v>
      </c>
      <c r="B26" s="26"/>
      <c r="C26" s="26"/>
      <c r="D26" s="26"/>
      <c r="E26" s="26"/>
    </row>
    <row r="27" spans="1:5" x14ac:dyDescent="0.2">
      <c r="A27" s="365" t="str">
        <f>CONCATENATE("Actual Delinquency for ",E1-3," Tax - (e.g. rate .01213 = 1.213%;  key in 1.2)")</f>
        <v>Actual Delinquency for 2021 Tax - (e.g. rate .01213 = 1.213%;  key in 1.2)</v>
      </c>
      <c r="B27" s="26"/>
      <c r="C27" s="26"/>
      <c r="D27" s="26"/>
      <c r="E27" s="26"/>
    </row>
    <row r="28" spans="1:5" x14ac:dyDescent="0.2">
      <c r="A28" s="367" t="s">
        <v>304</v>
      </c>
      <c r="B28" s="44"/>
      <c r="C28" s="44"/>
      <c r="D28" s="44"/>
      <c r="E28" s="331">
        <v>5.4000000000000003E-3</v>
      </c>
    </row>
    <row r="29" spans="1:5" x14ac:dyDescent="0.2">
      <c r="A29" s="359" t="s">
        <v>202</v>
      </c>
      <c r="B29" s="360"/>
      <c r="C29" s="360"/>
      <c r="D29" s="360"/>
      <c r="E29" s="361"/>
    </row>
    <row r="30" spans="1:5" x14ac:dyDescent="0.2">
      <c r="A30" s="66"/>
      <c r="B30" s="66"/>
      <c r="C30" s="66"/>
      <c r="D30" s="66"/>
      <c r="E30" s="66"/>
    </row>
    <row r="31" spans="1:5" x14ac:dyDescent="0.2">
      <c r="A31" s="565" t="str">
        <f>CONCATENATE("From the ",E1-2," Budget Certificate Page")</f>
        <v>From the 2022 Budget Certificate Page</v>
      </c>
      <c r="B31" s="566"/>
      <c r="C31" s="66"/>
      <c r="D31" s="66"/>
      <c r="E31" s="66"/>
    </row>
    <row r="32" spans="1:5" x14ac:dyDescent="0.2">
      <c r="A32" s="67"/>
      <c r="B32" s="567" t="str">
        <f>CONCATENATE("",E1-2,"                         Expenditure Amt Budget Authority")</f>
        <v>2022                         Expenditure Amt Budget Authority</v>
      </c>
      <c r="C32" s="570" t="str">
        <f>CONCATENATE("Note: If the ",E1-2," budget was amended, then the")</f>
        <v>Note: If the 2022 budget was amended, then the</v>
      </c>
      <c r="D32" s="571"/>
      <c r="E32" s="571"/>
    </row>
    <row r="33" spans="1:5" x14ac:dyDescent="0.2">
      <c r="A33" s="68" t="s">
        <v>34</v>
      </c>
      <c r="B33" s="568"/>
      <c r="C33" s="69" t="s">
        <v>35</v>
      </c>
      <c r="D33" s="70"/>
      <c r="E33" s="70"/>
    </row>
    <row r="34" spans="1:5" x14ac:dyDescent="0.2">
      <c r="A34" s="71"/>
      <c r="B34" s="569"/>
      <c r="C34" s="69" t="s">
        <v>36</v>
      </c>
      <c r="D34" s="70"/>
      <c r="E34" s="70"/>
    </row>
    <row r="35" spans="1:5" x14ac:dyDescent="0.2">
      <c r="A35" s="72" t="str">
        <f>inputPrYr!B17</f>
        <v>General</v>
      </c>
      <c r="B35" s="73">
        <v>3396257</v>
      </c>
      <c r="C35" s="69"/>
      <c r="D35" s="70"/>
      <c r="E35" s="70"/>
    </row>
    <row r="36" spans="1:5" x14ac:dyDescent="0.2">
      <c r="A36" s="72" t="str">
        <f>inputPrYr!B18</f>
        <v>Debt Service</v>
      </c>
      <c r="B36" s="36"/>
      <c r="C36" s="69"/>
      <c r="D36" s="70"/>
      <c r="E36" s="70"/>
    </row>
    <row r="37" spans="1:5" x14ac:dyDescent="0.2">
      <c r="A37" s="72" t="str">
        <f>inputPrYr!B19</f>
        <v>Road &amp; Bridge</v>
      </c>
      <c r="B37" s="36">
        <v>3590993</v>
      </c>
      <c r="C37" s="66"/>
      <c r="D37" s="66"/>
      <c r="E37" s="66"/>
    </row>
    <row r="38" spans="1:5" x14ac:dyDescent="0.2">
      <c r="A38" s="72" t="str">
        <f>inputPrYr!B20</f>
        <v>Fair</v>
      </c>
      <c r="B38" s="36">
        <v>20460</v>
      </c>
      <c r="C38" s="66"/>
      <c r="D38" s="66"/>
      <c r="E38" s="66"/>
    </row>
    <row r="39" spans="1:5" x14ac:dyDescent="0.2">
      <c r="A39" s="72" t="str">
        <f>inputPrYr!B21</f>
        <v>Conservation</v>
      </c>
      <c r="B39" s="36">
        <v>35717</v>
      </c>
      <c r="C39" s="66"/>
      <c r="D39" s="66"/>
      <c r="E39" s="66"/>
    </row>
    <row r="40" spans="1:5" x14ac:dyDescent="0.2">
      <c r="A40" s="72" t="str">
        <f>inputPrYr!B22</f>
        <v>Appraiser</v>
      </c>
      <c r="B40" s="36">
        <v>331583</v>
      </c>
      <c r="C40" s="66"/>
      <c r="D40" s="66"/>
      <c r="E40" s="66"/>
    </row>
    <row r="41" spans="1:5" x14ac:dyDescent="0.2">
      <c r="A41" s="72" t="str">
        <f>inputPrYr!B23</f>
        <v>Noxious Weed</v>
      </c>
      <c r="B41" s="36">
        <v>125343</v>
      </c>
      <c r="C41" s="66"/>
      <c r="D41" s="66"/>
      <c r="E41" s="66"/>
    </row>
    <row r="42" spans="1:5" x14ac:dyDescent="0.2">
      <c r="A42" s="72" t="str">
        <f>inputPrYr!B24</f>
        <v>Noxious Weed Chemical</v>
      </c>
      <c r="B42" s="36">
        <v>110272</v>
      </c>
      <c r="C42" s="66"/>
      <c r="D42" s="66"/>
      <c r="E42" s="66"/>
    </row>
    <row r="43" spans="1:5" x14ac:dyDescent="0.2">
      <c r="A43" s="72" t="str">
        <f>inputPrYr!B25</f>
        <v>Election</v>
      </c>
      <c r="B43" s="36">
        <v>92213</v>
      </c>
      <c r="C43" s="66"/>
      <c r="D43" s="66"/>
      <c r="E43" s="66"/>
    </row>
    <row r="44" spans="1:5" x14ac:dyDescent="0.2">
      <c r="A44" s="72" t="str">
        <f>inputPrYr!B26</f>
        <v>Extension Council</v>
      </c>
      <c r="B44" s="36">
        <v>130453</v>
      </c>
      <c r="C44" s="66"/>
      <c r="D44" s="66"/>
      <c r="E44" s="66"/>
    </row>
    <row r="45" spans="1:5" x14ac:dyDescent="0.2">
      <c r="A45" s="72" t="str">
        <f>inputPrYr!B27</f>
        <v>Elderly</v>
      </c>
      <c r="B45" s="36">
        <v>327737</v>
      </c>
      <c r="C45" s="66"/>
      <c r="D45" s="66"/>
      <c r="E45" s="66"/>
    </row>
    <row r="46" spans="1:5" x14ac:dyDescent="0.2">
      <c r="A46" s="72" t="str">
        <f>inputPrYr!B28</f>
        <v>Economic Development</v>
      </c>
      <c r="B46" s="36">
        <v>140141</v>
      </c>
      <c r="C46" s="66"/>
      <c r="D46" s="66"/>
      <c r="E46" s="66"/>
    </row>
    <row r="47" spans="1:5" x14ac:dyDescent="0.2">
      <c r="A47" s="72" t="str">
        <f>inputPrYr!B29</f>
        <v>Health</v>
      </c>
      <c r="B47" s="36">
        <v>1026524</v>
      </c>
      <c r="C47" s="66"/>
      <c r="D47" s="66"/>
      <c r="E47" s="66"/>
    </row>
    <row r="48" spans="1:5" x14ac:dyDescent="0.2">
      <c r="A48" s="72" t="str">
        <f>inputPrYr!B30</f>
        <v>Mental Health Workshop</v>
      </c>
      <c r="B48" s="36">
        <v>30455</v>
      </c>
      <c r="C48" s="66"/>
      <c r="D48" s="66"/>
      <c r="E48" s="66"/>
    </row>
    <row r="49" spans="1:5" x14ac:dyDescent="0.2">
      <c r="A49" s="72" t="str">
        <f>inputPrYr!B31</f>
        <v>Community Mental Health</v>
      </c>
      <c r="B49" s="36">
        <v>44936</v>
      </c>
      <c r="C49" s="66"/>
      <c r="D49" s="66"/>
      <c r="E49" s="66"/>
    </row>
    <row r="50" spans="1:5" x14ac:dyDescent="0.2">
      <c r="A50" s="72" t="str">
        <f>inputPrYr!B32</f>
        <v>Employee Benefit</v>
      </c>
      <c r="B50" s="36">
        <v>870000</v>
      </c>
      <c r="C50" s="66"/>
      <c r="D50" s="66"/>
      <c r="E50" s="66"/>
    </row>
    <row r="51" spans="1:5" x14ac:dyDescent="0.2">
      <c r="A51" s="72" t="str">
        <f>inputPrYr!B33</f>
        <v>Bond &amp; Interest</v>
      </c>
      <c r="B51" s="36">
        <v>36182</v>
      </c>
      <c r="C51" s="66"/>
      <c r="D51" s="66"/>
      <c r="E51" s="66"/>
    </row>
    <row r="52" spans="1:5" x14ac:dyDescent="0.2">
      <c r="A52" s="72" t="str">
        <f>inputPrYr!B36</f>
        <v>Capital Improvement</v>
      </c>
      <c r="B52" s="36">
        <v>20000</v>
      </c>
      <c r="C52" s="66"/>
      <c r="D52" s="66"/>
      <c r="E52" s="66"/>
    </row>
    <row r="53" spans="1:5" x14ac:dyDescent="0.2">
      <c r="A53" s="72" t="str">
        <f>inputPrYr!B37</f>
        <v>Diversion</v>
      </c>
      <c r="B53" s="36">
        <v>75000</v>
      </c>
      <c r="C53" s="66"/>
      <c r="D53" s="66"/>
      <c r="E53" s="66"/>
    </row>
    <row r="54" spans="1:5" x14ac:dyDescent="0.2">
      <c r="A54" s="72" t="str">
        <f>inputPrYr!B38</f>
        <v>Solid Waste</v>
      </c>
      <c r="B54" s="36">
        <v>30000</v>
      </c>
      <c r="C54" s="66"/>
      <c r="D54" s="66"/>
      <c r="E54" s="66"/>
    </row>
    <row r="55" spans="1:5" x14ac:dyDescent="0.2">
      <c r="A55" s="72" t="str">
        <f>inputPrYr!B39</f>
        <v>Central Kitchen</v>
      </c>
      <c r="B55" s="36">
        <v>440878</v>
      </c>
      <c r="C55" s="66"/>
      <c r="D55" s="66"/>
      <c r="E55" s="66"/>
    </row>
    <row r="56" spans="1:5" x14ac:dyDescent="0.2">
      <c r="A56" s="72" t="str">
        <f>inputPrYr!B40</f>
        <v>Title III</v>
      </c>
      <c r="B56" s="36">
        <v>562200</v>
      </c>
      <c r="C56" s="66"/>
      <c r="D56" s="66"/>
      <c r="E56" s="66"/>
    </row>
    <row r="57" spans="1:5" x14ac:dyDescent="0.2">
      <c r="A57" s="72" t="str">
        <f>inputPrYr!B41</f>
        <v>Local Alcoholic Liquor</v>
      </c>
      <c r="B57" s="36">
        <v>15000</v>
      </c>
      <c r="C57" s="66"/>
      <c r="D57" s="66"/>
      <c r="E57" s="66"/>
    </row>
    <row r="58" spans="1:5" x14ac:dyDescent="0.2">
      <c r="A58" s="72" t="str">
        <f>inputPrYr!B42</f>
        <v>New Sales Tax</v>
      </c>
      <c r="B58" s="36">
        <v>1150000</v>
      </c>
      <c r="C58" s="66"/>
      <c r="D58" s="66"/>
      <c r="E58" s="66"/>
    </row>
    <row r="59" spans="1:5" x14ac:dyDescent="0.2">
      <c r="A59" s="72" t="e">
        <f>inputPrYr!#REF!</f>
        <v>#REF!</v>
      </c>
      <c r="B59" s="36">
        <v>5000</v>
      </c>
      <c r="C59" s="66"/>
      <c r="D59" s="66"/>
      <c r="E59" s="66"/>
    </row>
    <row r="60" spans="1:5" x14ac:dyDescent="0.2">
      <c r="A60" s="72"/>
      <c r="B60" s="36"/>
      <c r="C60" s="66"/>
      <c r="D60" s="66"/>
      <c r="E60" s="66"/>
    </row>
    <row r="61" spans="1:5" x14ac:dyDescent="0.2">
      <c r="A61" s="72"/>
      <c r="B61" s="36"/>
      <c r="C61" s="66"/>
      <c r="D61" s="66"/>
      <c r="E61" s="66"/>
    </row>
    <row r="62" spans="1:5" x14ac:dyDescent="0.2">
      <c r="A62" s="72"/>
      <c r="B62" s="36"/>
      <c r="C62" s="66"/>
      <c r="D62" s="66"/>
      <c r="E62" s="66"/>
    </row>
    <row r="63" spans="1:5" x14ac:dyDescent="0.2">
      <c r="A63" s="72"/>
      <c r="B63" s="36"/>
      <c r="C63" s="66"/>
      <c r="D63" s="66"/>
      <c r="E63" s="66"/>
    </row>
    <row r="64" spans="1:5" x14ac:dyDescent="0.2">
      <c r="A64" s="72"/>
      <c r="B64" s="36"/>
      <c r="C64" s="66"/>
      <c r="D64" s="66"/>
      <c r="E64" s="66"/>
    </row>
    <row r="65" spans="1:5" x14ac:dyDescent="0.2">
      <c r="A65" s="72"/>
      <c r="B65" s="36"/>
      <c r="C65" s="66"/>
      <c r="D65" s="66"/>
      <c r="E65" s="66"/>
    </row>
    <row r="66" spans="1:5" x14ac:dyDescent="0.2">
      <c r="A66" s="72"/>
      <c r="B66" s="36"/>
      <c r="C66" s="66"/>
      <c r="D66" s="66"/>
      <c r="E66" s="66"/>
    </row>
    <row r="67" spans="1:5" x14ac:dyDescent="0.2">
      <c r="A67" s="72"/>
      <c r="B67" s="36"/>
      <c r="C67" s="66"/>
      <c r="D67" s="66"/>
      <c r="E67" s="66"/>
    </row>
    <row r="68" spans="1:5" x14ac:dyDescent="0.2">
      <c r="A68" s="72" t="str">
        <f>inputPrYr!B43</f>
        <v>FEMA</v>
      </c>
      <c r="B68" s="36">
        <v>200000</v>
      </c>
      <c r="C68" s="66"/>
      <c r="D68" s="66"/>
      <c r="E68" s="66"/>
    </row>
    <row r="69" spans="1:5" x14ac:dyDescent="0.2">
      <c r="A69" s="72" t="str">
        <f>inputPrYr!B44</f>
        <v>911 Fund</v>
      </c>
      <c r="B69" s="36">
        <v>75000</v>
      </c>
      <c r="C69" s="66"/>
      <c r="D69" s="66"/>
      <c r="E69" s="66"/>
    </row>
    <row r="70" spans="1:5" x14ac:dyDescent="0.2">
      <c r="A70" s="72" t="str">
        <f>inputPrYr!B45</f>
        <v>Equipment Reserve</v>
      </c>
      <c r="B70" s="36">
        <v>195000</v>
      </c>
      <c r="C70" s="66"/>
      <c r="D70" s="66"/>
      <c r="E70" s="66"/>
    </row>
    <row r="71" spans="1:5" x14ac:dyDescent="0.2">
      <c r="A71" s="72" t="e">
        <f>inputPrYr!#REF!</f>
        <v>#REF!</v>
      </c>
      <c r="B71" s="36">
        <v>5000</v>
      </c>
      <c r="C71" s="66"/>
      <c r="D71" s="66"/>
      <c r="E71" s="66"/>
    </row>
    <row r="72" spans="1:5" x14ac:dyDescent="0.2">
      <c r="A72" s="72">
        <f>inputPrYr!B47</f>
        <v>0</v>
      </c>
      <c r="B72" s="36">
        <v>5000</v>
      </c>
      <c r="C72" s="66"/>
      <c r="D72" s="66"/>
      <c r="E72" s="66"/>
    </row>
    <row r="73" spans="1:5" x14ac:dyDescent="0.2">
      <c r="A73" s="72">
        <f>inputPrYr!B48</f>
        <v>0</v>
      </c>
      <c r="B73" s="36">
        <v>30000</v>
      </c>
      <c r="C73" s="66"/>
      <c r="D73" s="66"/>
      <c r="E73" s="66"/>
    </row>
    <row r="74" spans="1:5" x14ac:dyDescent="0.2">
      <c r="A74" s="72" t="str">
        <f>inputPrYr!B46</f>
        <v>CARES/ARPA</v>
      </c>
      <c r="B74" s="36">
        <v>1484264</v>
      </c>
      <c r="C74" s="66"/>
      <c r="D74" s="66"/>
      <c r="E74" s="66"/>
    </row>
    <row r="75" spans="1:5" x14ac:dyDescent="0.2">
      <c r="A75" s="72">
        <f>inputPrYr!B51</f>
        <v>0</v>
      </c>
      <c r="B75" s="36">
        <v>15000</v>
      </c>
      <c r="C75" s="66"/>
      <c r="D75" s="66"/>
      <c r="E75" s="66"/>
    </row>
  </sheetData>
  <mergeCells count="4">
    <mergeCell ref="A3:E3"/>
    <mergeCell ref="A31:B31"/>
    <mergeCell ref="B32:B34"/>
    <mergeCell ref="C32:E32"/>
  </mergeCells>
  <phoneticPr fontId="7"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F0"/>
    <pageSetUpPr fitToPage="1"/>
  </sheetPr>
  <dimension ref="B1:E65"/>
  <sheetViews>
    <sheetView workbookViewId="0">
      <selection activeCell="B1" sqref="B1"/>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t="s">
        <v>949</v>
      </c>
      <c r="C6" s="104" t="str">
        <f>General!C5</f>
        <v>Actual for 2022</v>
      </c>
      <c r="D6" s="104" t="str">
        <f>General!D5</f>
        <v>Estimate for 2023</v>
      </c>
      <c r="E6" s="136" t="str">
        <f>General!E5</f>
        <v>Year for 2024</v>
      </c>
    </row>
    <row r="7" spans="2:5" x14ac:dyDescent="0.2">
      <c r="B7" s="60" t="s">
        <v>182</v>
      </c>
      <c r="C7" s="42">
        <v>738105</v>
      </c>
      <c r="D7" s="106">
        <f>C28</f>
        <v>1157158</v>
      </c>
      <c r="E7" s="106">
        <f>D28</f>
        <v>1157158</v>
      </c>
    </row>
    <row r="8" spans="2:5" x14ac:dyDescent="0.2">
      <c r="B8" s="164" t="s">
        <v>184</v>
      </c>
      <c r="C8" s="38"/>
      <c r="D8" s="38"/>
      <c r="E8" s="38"/>
    </row>
    <row r="9" spans="2:5" x14ac:dyDescent="0.2">
      <c r="B9" s="150" t="s">
        <v>1055</v>
      </c>
      <c r="C9" s="42">
        <v>738106</v>
      </c>
      <c r="D9" s="42"/>
      <c r="E9" s="42"/>
    </row>
    <row r="10" spans="2:5" x14ac:dyDescent="0.2">
      <c r="B10" s="150" t="s">
        <v>1058</v>
      </c>
      <c r="C10" s="42">
        <v>50000</v>
      </c>
      <c r="D10" s="42">
        <v>50000</v>
      </c>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788106</v>
      </c>
      <c r="D15" s="457">
        <f>SUM(D9:D13)</f>
        <v>50000</v>
      </c>
      <c r="E15" s="457">
        <f>SUM(E9:E13)</f>
        <v>0</v>
      </c>
    </row>
    <row r="16" spans="2:5" x14ac:dyDescent="0.2">
      <c r="B16" s="145" t="s">
        <v>89</v>
      </c>
      <c r="C16" s="457">
        <f>C15+C7</f>
        <v>1526211</v>
      </c>
      <c r="D16" s="457">
        <f>D15+D7</f>
        <v>1207158</v>
      </c>
      <c r="E16" s="457">
        <f>E15+E7</f>
        <v>1157158</v>
      </c>
    </row>
    <row r="17" spans="2:5" x14ac:dyDescent="0.2">
      <c r="B17" s="60" t="s">
        <v>92</v>
      </c>
      <c r="C17" s="106"/>
      <c r="D17" s="106"/>
      <c r="E17" s="106"/>
    </row>
    <row r="18" spans="2:5" x14ac:dyDescent="0.2">
      <c r="B18" s="150" t="s">
        <v>1056</v>
      </c>
      <c r="C18" s="42"/>
      <c r="D18" s="42"/>
      <c r="E18" s="42"/>
    </row>
    <row r="19" spans="2:5" x14ac:dyDescent="0.2">
      <c r="B19" s="150" t="s">
        <v>1057</v>
      </c>
      <c r="C19" s="42">
        <v>369053</v>
      </c>
      <c r="D19" s="42"/>
      <c r="E19" s="42">
        <v>1157158</v>
      </c>
    </row>
    <row r="20" spans="2:5" x14ac:dyDescent="0.2">
      <c r="B20" s="150" t="s">
        <v>1059</v>
      </c>
      <c r="C20" s="42"/>
      <c r="D20" s="42">
        <v>50000</v>
      </c>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369053</v>
      </c>
      <c r="D27" s="457">
        <f>SUM(D18:D25)</f>
        <v>50000</v>
      </c>
      <c r="E27" s="457">
        <f>SUM(E18:E25)</f>
        <v>1157158</v>
      </c>
    </row>
    <row r="28" spans="2:5" x14ac:dyDescent="0.2">
      <c r="B28" s="60" t="s">
        <v>183</v>
      </c>
      <c r="C28" s="106">
        <f>C16-C27</f>
        <v>1157158</v>
      </c>
      <c r="D28" s="106">
        <f>D16-D27</f>
        <v>1157158</v>
      </c>
      <c r="E28" s="106">
        <f>E16-E27</f>
        <v>0</v>
      </c>
    </row>
    <row r="29" spans="2:5" x14ac:dyDescent="0.2">
      <c r="B29" s="135" t="str">
        <f>CONCATENATE("",E1-2,"/",E1-1,"/",E1," Budget Authority Amount:")</f>
        <v>2022/2023/2024 Budget Authority Amount:</v>
      </c>
      <c r="C29" s="167">
        <v>1157158</v>
      </c>
      <c r="D29" s="167">
        <v>1157158</v>
      </c>
      <c r="E29" s="338">
        <f>E27</f>
        <v>1157158</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6" t="e">
        <f>inputPrYr!#REF!</f>
        <v>#REF!</v>
      </c>
      <c r="C35" s="104" t="str">
        <f t="shared" si="0"/>
        <v>Actual for 2022</v>
      </c>
      <c r="D35" s="104" t="str">
        <f t="shared" si="0"/>
        <v>Estimate for 2023</v>
      </c>
      <c r="E35" s="104" t="str">
        <f t="shared" si="0"/>
        <v>Year for 2024</v>
      </c>
    </row>
    <row r="36" spans="2:5" x14ac:dyDescent="0.2">
      <c r="B36" s="60" t="s">
        <v>182</v>
      </c>
      <c r="C36" s="42"/>
      <c r="D36" s="106">
        <f>C58</f>
        <v>0</v>
      </c>
      <c r="E36" s="106">
        <f>D58</f>
        <v>0</v>
      </c>
    </row>
    <row r="37" spans="2:5" x14ac:dyDescent="0.2">
      <c r="B37" s="60" t="s">
        <v>184</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0</v>
      </c>
      <c r="D44" s="457">
        <f>SUM(D38:D42)</f>
        <v>0</v>
      </c>
      <c r="E44" s="457">
        <f>SUM(E38:E42)</f>
        <v>0</v>
      </c>
    </row>
    <row r="45" spans="2:5" x14ac:dyDescent="0.2">
      <c r="B45" s="145" t="s">
        <v>89</v>
      </c>
      <c r="C45" s="457">
        <f>C36+C44</f>
        <v>0</v>
      </c>
      <c r="D45" s="457">
        <f>D36+D44</f>
        <v>0</v>
      </c>
      <c r="E45" s="457">
        <f>E36+E44</f>
        <v>0</v>
      </c>
    </row>
    <row r="46" spans="2:5" x14ac:dyDescent="0.2">
      <c r="B46" s="60" t="s">
        <v>92</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Forward (",E1," column)")</f>
        <v>Cash Forward (2024 column)</v>
      </c>
      <c r="C54" s="42"/>
      <c r="D54" s="42"/>
      <c r="E54" s="42"/>
    </row>
    <row r="55" spans="2:5" x14ac:dyDescent="0.2">
      <c r="B55" s="143" t="s">
        <v>38</v>
      </c>
      <c r="C55" s="42"/>
      <c r="D55" s="138"/>
      <c r="E55" s="138"/>
    </row>
    <row r="56" spans="2:5" x14ac:dyDescent="0.2">
      <c r="B56" s="143" t="s">
        <v>277</v>
      </c>
      <c r="C56" s="243" t="str">
        <f>IF(C57*0.1&lt;C55,"Exceed 10% Rule","")</f>
        <v/>
      </c>
      <c r="D56" s="144" t="str">
        <f>IF(D57*0.1&lt;D55,"Exceed 10% Rule","")</f>
        <v/>
      </c>
      <c r="E56" s="144" t="str">
        <f>IF(E57*0.1&lt;E55,"Exceed 10% Rule","")</f>
        <v/>
      </c>
    </row>
    <row r="57" spans="2:5" x14ac:dyDescent="0.2">
      <c r="B57" s="145" t="s">
        <v>93</v>
      </c>
      <c r="C57" s="457">
        <f>SUM(C47:C55)</f>
        <v>0</v>
      </c>
      <c r="D57" s="457">
        <f>SUM(D47:D55)</f>
        <v>0</v>
      </c>
      <c r="E57" s="457">
        <f>SUM(E47:E55)</f>
        <v>0</v>
      </c>
    </row>
    <row r="58" spans="2:5" x14ac:dyDescent="0.2">
      <c r="B58" s="60" t="s">
        <v>183</v>
      </c>
      <c r="C58" s="106">
        <f>C45-C57</f>
        <v>0</v>
      </c>
      <c r="D58" s="106">
        <f>D45-D57</f>
        <v>0</v>
      </c>
      <c r="E58" s="106">
        <f>E45-E57</f>
        <v>0</v>
      </c>
    </row>
    <row r="59" spans="2:5" x14ac:dyDescent="0.2">
      <c r="B59" s="135" t="str">
        <f>CONCATENATE("",E1-2,"/",E1-1,"/",E1," Budget Authority Amount:")</f>
        <v>2022/2023/2024 Budget Authority Amount:</v>
      </c>
      <c r="C59" s="167">
        <f>inputOth!B63</f>
        <v>0</v>
      </c>
      <c r="D59" s="167"/>
      <c r="E59" s="338">
        <f>E57</f>
        <v>0</v>
      </c>
    </row>
    <row r="60" spans="2:5" x14ac:dyDescent="0.2">
      <c r="B60" s="125"/>
      <c r="C60" s="152" t="str">
        <f>IF(C57&gt;C59,"See Tab A","")</f>
        <v/>
      </c>
      <c r="D60" s="152" t="str">
        <f>IF(D57&gt;D59,"See Tab C","")</f>
        <v/>
      </c>
      <c r="E60" s="340" t="str">
        <f>IF(E58&lt;0,"See Tab E","")</f>
        <v/>
      </c>
    </row>
    <row r="61" spans="2:5" x14ac:dyDescent="0.2">
      <c r="B61" s="419" t="s">
        <v>341</v>
      </c>
      <c r="C61" s="340"/>
      <c r="D61" s="340"/>
      <c r="E61" s="409"/>
    </row>
    <row r="62" spans="2:5" x14ac:dyDescent="0.2">
      <c r="B62" s="410"/>
      <c r="C62" s="152"/>
      <c r="D62" s="152"/>
      <c r="E62" s="411"/>
    </row>
    <row r="63" spans="2:5" x14ac:dyDescent="0.2">
      <c r="B63" s="412"/>
      <c r="C63" s="413" t="str">
        <f>IF(C58&lt;0,"See Tab B","")</f>
        <v/>
      </c>
      <c r="D63" s="413" t="str">
        <f>IF(D58&lt;0,"See Tab D","")</f>
        <v/>
      </c>
      <c r="E63" s="47"/>
    </row>
    <row r="64" spans="2:5" x14ac:dyDescent="0.2">
      <c r="B64" s="26"/>
      <c r="C64" s="26"/>
      <c r="D64" s="26"/>
      <c r="E64" s="26"/>
    </row>
    <row r="65" spans="2:5" x14ac:dyDescent="0.2">
      <c r="B65" s="125" t="s">
        <v>133</v>
      </c>
      <c r="C65" s="362">
        <v>20</v>
      </c>
      <c r="D65" s="26"/>
      <c r="E65" s="26"/>
    </row>
  </sheetData>
  <phoneticPr fontId="0" type="noConversion"/>
  <conditionalFormatting sqref="C25">
    <cfRule type="cellIs" dxfId="87" priority="3" stopIfTrue="1" operator="greaterThan">
      <formula>$C$27*0.1</formula>
    </cfRule>
  </conditionalFormatting>
  <conditionalFormatting sqref="D25">
    <cfRule type="cellIs" dxfId="86" priority="4" stopIfTrue="1" operator="greaterThan">
      <formula>$D$27*0.1</formula>
    </cfRule>
  </conditionalFormatting>
  <conditionalFormatting sqref="E25">
    <cfRule type="cellIs" dxfId="85" priority="5" stopIfTrue="1" operator="greaterThan">
      <formula>$E$27*0.1</formula>
    </cfRule>
  </conditionalFormatting>
  <conditionalFormatting sqref="C13">
    <cfRule type="cellIs" dxfId="84" priority="6" stopIfTrue="1" operator="greaterThan">
      <formula>$C$15*0.1</formula>
    </cfRule>
  </conditionalFormatting>
  <conditionalFormatting sqref="D13">
    <cfRule type="cellIs" dxfId="83" priority="7" stopIfTrue="1" operator="greaterThan">
      <formula>$D$15*0.1</formula>
    </cfRule>
  </conditionalFormatting>
  <conditionalFormatting sqref="E13">
    <cfRule type="cellIs" dxfId="82" priority="8" stopIfTrue="1" operator="greaterThan">
      <formula>$E$15*0.1</formula>
    </cfRule>
  </conditionalFormatting>
  <conditionalFormatting sqref="C42">
    <cfRule type="cellIs" dxfId="81" priority="9" stopIfTrue="1" operator="greaterThan">
      <formula>$C$44*0.1</formula>
    </cfRule>
  </conditionalFormatting>
  <conditionalFormatting sqref="D42">
    <cfRule type="cellIs" dxfId="80" priority="10" stopIfTrue="1" operator="greaterThan">
      <formula>$D$44*0.1</formula>
    </cfRule>
  </conditionalFormatting>
  <conditionalFormatting sqref="E42">
    <cfRule type="cellIs" dxfId="79" priority="11" stopIfTrue="1" operator="greaterThan">
      <formula>$E$44*0.1</formula>
    </cfRule>
  </conditionalFormatting>
  <conditionalFormatting sqref="C55">
    <cfRule type="cellIs" dxfId="78" priority="12" stopIfTrue="1" operator="greaterThan">
      <formula>$C$57*0.1</formula>
    </cfRule>
  </conditionalFormatting>
  <conditionalFormatting sqref="D55">
    <cfRule type="cellIs" dxfId="77" priority="13" stopIfTrue="1" operator="greaterThan">
      <formula>$D$57*0.1</formula>
    </cfRule>
  </conditionalFormatting>
  <conditionalFormatting sqref="E55">
    <cfRule type="cellIs" dxfId="76" priority="14" stopIfTrue="1" operator="greaterThan">
      <formula>$E$57*0.1</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F0"/>
    <pageSetUpPr fitToPage="1"/>
  </sheetPr>
  <dimension ref="B1:E64"/>
  <sheetViews>
    <sheetView topLeftCell="A40"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t="e">
        <f>inputPrYr!#REF!</f>
        <v>#REF!</v>
      </c>
      <c r="C6" s="104" t="str">
        <f>General!C5</f>
        <v>Actual for 2022</v>
      </c>
      <c r="D6" s="104" t="str">
        <f>General!D5</f>
        <v>Estimate for 2023</v>
      </c>
      <c r="E6" s="136" t="str">
        <f>General!E5</f>
        <v>Year for 2024</v>
      </c>
    </row>
    <row r="7" spans="2:5" x14ac:dyDescent="0.2">
      <c r="B7" s="60" t="s">
        <v>182</v>
      </c>
      <c r="C7" s="42"/>
      <c r="D7" s="106">
        <f>C28</f>
        <v>0</v>
      </c>
      <c r="E7" s="106">
        <f>D28</f>
        <v>0</v>
      </c>
    </row>
    <row r="8" spans="2:5" x14ac:dyDescent="0.2">
      <c r="B8" s="164" t="s">
        <v>184</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0</v>
      </c>
      <c r="D15" s="457">
        <f>SUM(D9:D13)</f>
        <v>0</v>
      </c>
      <c r="E15" s="457">
        <f>SUM(E9:E13)</f>
        <v>0</v>
      </c>
    </row>
    <row r="16" spans="2:5" x14ac:dyDescent="0.2">
      <c r="B16" s="145" t="s">
        <v>89</v>
      </c>
      <c r="C16" s="457">
        <f>C15+C7</f>
        <v>0</v>
      </c>
      <c r="D16" s="457">
        <f>D15+D7</f>
        <v>0</v>
      </c>
      <c r="E16" s="457">
        <f>E15+E7</f>
        <v>0</v>
      </c>
    </row>
    <row r="17" spans="2:5" x14ac:dyDescent="0.2">
      <c r="B17" s="60" t="s">
        <v>92</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0</v>
      </c>
      <c r="D27" s="457">
        <f>SUM(D18:D25)</f>
        <v>0</v>
      </c>
      <c r="E27" s="457">
        <f>SUM(E18:E25)</f>
        <v>0</v>
      </c>
    </row>
    <row r="28" spans="2:5" x14ac:dyDescent="0.2">
      <c r="B28" s="60" t="s">
        <v>183</v>
      </c>
      <c r="C28" s="106">
        <f>C16-C27</f>
        <v>0</v>
      </c>
      <c r="D28" s="106">
        <f>D16-D27</f>
        <v>0</v>
      </c>
      <c r="E28" s="106">
        <f>E16-E27</f>
        <v>0</v>
      </c>
    </row>
    <row r="29" spans="2:5" x14ac:dyDescent="0.2">
      <c r="B29" s="135" t="str">
        <f>CONCATENATE("",E1-2,"/",E1-1,"/",E1," Budget Authority Amount:")</f>
        <v>2022/2023/2024 Budget Authority Amount:</v>
      </c>
      <c r="C29" s="167">
        <f>inputOth!B64</f>
        <v>0</v>
      </c>
      <c r="D29" s="167">
        <f>inputPrYr!D40</f>
        <v>633000</v>
      </c>
      <c r="E29" s="338">
        <f>E27</f>
        <v>0</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6" t="e">
        <f>inputPrYr!#REF!</f>
        <v>#REF!</v>
      </c>
      <c r="C35" s="104" t="str">
        <f t="shared" si="0"/>
        <v>Actual for 2022</v>
      </c>
      <c r="D35" s="104" t="str">
        <f t="shared" si="0"/>
        <v>Estimate for 2023</v>
      </c>
      <c r="E35" s="104" t="str">
        <f t="shared" si="0"/>
        <v>Year for 2024</v>
      </c>
    </row>
    <row r="36" spans="2:5" x14ac:dyDescent="0.2">
      <c r="B36" s="60" t="s">
        <v>182</v>
      </c>
      <c r="C36" s="42"/>
      <c r="D36" s="106">
        <f>C57</f>
        <v>0</v>
      </c>
      <c r="E36" s="106">
        <f>D57</f>
        <v>0</v>
      </c>
    </row>
    <row r="37" spans="2:5" x14ac:dyDescent="0.2">
      <c r="B37" s="60" t="s">
        <v>184</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0</v>
      </c>
      <c r="D44" s="457">
        <f>SUM(D38:D42)</f>
        <v>0</v>
      </c>
      <c r="E44" s="457">
        <f>SUM(E38:E42)</f>
        <v>0</v>
      </c>
    </row>
    <row r="45" spans="2:5" x14ac:dyDescent="0.2">
      <c r="B45" s="145" t="s">
        <v>89</v>
      </c>
      <c r="C45" s="457">
        <f>C36+C44</f>
        <v>0</v>
      </c>
      <c r="D45" s="457">
        <f>D36+D44</f>
        <v>0</v>
      </c>
      <c r="E45" s="457">
        <f>E36+E44</f>
        <v>0</v>
      </c>
    </row>
    <row r="46" spans="2:5" x14ac:dyDescent="0.2">
      <c r="B46" s="60" t="s">
        <v>92</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43" t="str">
        <f>CONCATENATE("Cash Forward (",E1," column)")</f>
        <v>Cash Forward (2024 column)</v>
      </c>
      <c r="C53" s="42"/>
      <c r="D53" s="42"/>
      <c r="E53" s="42"/>
    </row>
    <row r="54" spans="2:5" x14ac:dyDescent="0.2">
      <c r="B54" s="143" t="s">
        <v>38</v>
      </c>
      <c r="C54" s="42"/>
      <c r="D54" s="138"/>
      <c r="E54" s="138"/>
    </row>
    <row r="55" spans="2:5" x14ac:dyDescent="0.2">
      <c r="B55" s="143" t="s">
        <v>277</v>
      </c>
      <c r="C55" s="243" t="str">
        <f>IF(C56*0.1&lt;C54,"Exceed 10% Rule","")</f>
        <v/>
      </c>
      <c r="D55" s="144" t="str">
        <f>IF(D56*0.1&lt;D54,"Exceed 10% Rule","")</f>
        <v/>
      </c>
      <c r="E55" s="144" t="str">
        <f>IF(E56*0.1&lt;E54,"Exceed 10% Rule","")</f>
        <v/>
      </c>
    </row>
    <row r="56" spans="2:5" x14ac:dyDescent="0.2">
      <c r="B56" s="145" t="s">
        <v>93</v>
      </c>
      <c r="C56" s="457">
        <f>SUM(C47:C54)</f>
        <v>0</v>
      </c>
      <c r="D56" s="457">
        <f>SUM(D47:D54)</f>
        <v>0</v>
      </c>
      <c r="E56" s="457">
        <f>SUM(E47:E54)</f>
        <v>0</v>
      </c>
    </row>
    <row r="57" spans="2:5" x14ac:dyDescent="0.2">
      <c r="B57" s="60" t="s">
        <v>183</v>
      </c>
      <c r="C57" s="106">
        <f>C45-C56</f>
        <v>0</v>
      </c>
      <c r="D57" s="106">
        <f>D45-D56</f>
        <v>0</v>
      </c>
      <c r="E57" s="106">
        <f>E45-E56</f>
        <v>0</v>
      </c>
    </row>
    <row r="58" spans="2:5" x14ac:dyDescent="0.2">
      <c r="B58" s="135" t="str">
        <f>CONCATENATE("",E1-2,"/",E1-1,"/",E1," Budget Authority Amount:")</f>
        <v>2022/2023/2024 Budget Authority Amount:</v>
      </c>
      <c r="C58" s="167">
        <f>inputOth!B65</f>
        <v>0</v>
      </c>
      <c r="D58" s="167">
        <f>inputPrYr!D41</f>
        <v>24200</v>
      </c>
      <c r="E58" s="338">
        <f>E56</f>
        <v>0</v>
      </c>
    </row>
    <row r="59" spans="2:5" x14ac:dyDescent="0.2">
      <c r="B59" s="125"/>
      <c r="C59" s="152" t="str">
        <f>IF(C56&gt;C58,"See Tab A","")</f>
        <v/>
      </c>
      <c r="D59" s="152" t="str">
        <f>IF(D56&gt;D58,"See Tab C","")</f>
        <v/>
      </c>
      <c r="E59" s="340" t="str">
        <f>IF(E57&lt;0,"See Tab E","")</f>
        <v/>
      </c>
    </row>
    <row r="60" spans="2:5" x14ac:dyDescent="0.2">
      <c r="B60" s="419" t="s">
        <v>341</v>
      </c>
      <c r="C60" s="340"/>
      <c r="D60" s="340"/>
      <c r="E60" s="409"/>
    </row>
    <row r="61" spans="2:5" x14ac:dyDescent="0.2">
      <c r="B61" s="410"/>
      <c r="C61" s="152"/>
      <c r="D61" s="152"/>
      <c r="E61" s="411"/>
    </row>
    <row r="62" spans="2:5" x14ac:dyDescent="0.2">
      <c r="B62" s="412"/>
      <c r="C62" s="413" t="str">
        <f>IF(C57&lt;0,"See Tab B","")</f>
        <v/>
      </c>
      <c r="D62" s="413" t="str">
        <f>IF(D57&lt;0,"See Tab D","")</f>
        <v/>
      </c>
      <c r="E62" s="47"/>
    </row>
    <row r="63" spans="2:5" x14ac:dyDescent="0.2">
      <c r="B63" s="26"/>
      <c r="C63" s="26"/>
      <c r="D63" s="26"/>
      <c r="E63" s="26"/>
    </row>
    <row r="64" spans="2:5" x14ac:dyDescent="0.2">
      <c r="B64" s="125" t="s">
        <v>133</v>
      </c>
      <c r="C64" s="362"/>
      <c r="D64" s="26"/>
      <c r="E64" s="26"/>
    </row>
  </sheetData>
  <sheetProtection sheet="1" objects="1" scenarios="1"/>
  <phoneticPr fontId="0" type="noConversion"/>
  <conditionalFormatting sqref="C25">
    <cfRule type="cellIs" dxfId="75" priority="3" stopIfTrue="1" operator="greaterThan">
      <formula>$C$27*0.1</formula>
    </cfRule>
  </conditionalFormatting>
  <conditionalFormatting sqref="D25">
    <cfRule type="cellIs" dxfId="74" priority="4" stopIfTrue="1" operator="greaterThan">
      <formula>$D$27*0.1</formula>
    </cfRule>
  </conditionalFormatting>
  <conditionalFormatting sqref="E25">
    <cfRule type="cellIs" dxfId="73" priority="5" stopIfTrue="1" operator="greaterThan">
      <formula>$E$27*0.1</formula>
    </cfRule>
  </conditionalFormatting>
  <conditionalFormatting sqref="C13">
    <cfRule type="cellIs" dxfId="72" priority="6" stopIfTrue="1" operator="greaterThan">
      <formula>$C$15*0.1</formula>
    </cfRule>
  </conditionalFormatting>
  <conditionalFormatting sqref="D13">
    <cfRule type="cellIs" dxfId="71" priority="7" stopIfTrue="1" operator="greaterThan">
      <formula>$D$15*0.1</formula>
    </cfRule>
  </conditionalFormatting>
  <conditionalFormatting sqref="E13">
    <cfRule type="cellIs" dxfId="70" priority="8" stopIfTrue="1" operator="greaterThan">
      <formula>$E$15*0.1</formula>
    </cfRule>
  </conditionalFormatting>
  <conditionalFormatting sqref="C42">
    <cfRule type="cellIs" dxfId="69" priority="9" stopIfTrue="1" operator="greaterThan">
      <formula>$C$44*0.1</formula>
    </cfRule>
  </conditionalFormatting>
  <conditionalFormatting sqref="D42">
    <cfRule type="cellIs" dxfId="68" priority="10" stopIfTrue="1" operator="greaterThan">
      <formula>$D$44*0.1</formula>
    </cfRule>
  </conditionalFormatting>
  <conditionalFormatting sqref="E42">
    <cfRule type="cellIs" dxfId="67" priority="11" stopIfTrue="1" operator="greaterThan">
      <formula>$E$44*0.1</formula>
    </cfRule>
  </conditionalFormatting>
  <conditionalFormatting sqref="C54">
    <cfRule type="cellIs" dxfId="66" priority="12" stopIfTrue="1" operator="greaterThan">
      <formula>$C$56*0.1</formula>
    </cfRule>
  </conditionalFormatting>
  <conditionalFormatting sqref="D54">
    <cfRule type="cellIs" dxfId="65" priority="13" stopIfTrue="1" operator="greaterThan">
      <formula>$D$56*0.1</formula>
    </cfRule>
  </conditionalFormatting>
  <conditionalFormatting sqref="E54">
    <cfRule type="cellIs" dxfId="64" priority="14" stopIfTrue="1" operator="greaterThan">
      <formula>$E$56*0.1</formula>
    </cfRule>
  </conditionalFormatting>
  <pageMargins left="1.1200000000000001" right="0.5" top="0.74" bottom="0.34" header="0.5" footer="0"/>
  <pageSetup scale="71" orientation="portrait" blackAndWhite="1" horizontalDpi="120" verticalDpi="144" r:id="rId1"/>
  <headerFooter alignWithMargins="0">
    <oddHeader xml:space="preserve">&amp;RState of Kansas
County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pageSetUpPr fitToPage="1"/>
  </sheetPr>
  <dimension ref="B1:E64"/>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t="e">
        <f>inputPrYr!#REF!</f>
        <v>#REF!</v>
      </c>
      <c r="C6" s="104" t="str">
        <f>General!C5</f>
        <v>Actual for 2022</v>
      </c>
      <c r="D6" s="104" t="str">
        <f>General!D5</f>
        <v>Estimate for 2023</v>
      </c>
      <c r="E6" s="136" t="str">
        <f>General!E5</f>
        <v>Year for 2024</v>
      </c>
    </row>
    <row r="7" spans="2:5" x14ac:dyDescent="0.2">
      <c r="B7" s="60" t="s">
        <v>182</v>
      </c>
      <c r="C7" s="42"/>
      <c r="D7" s="106">
        <f>C28</f>
        <v>0</v>
      </c>
      <c r="E7" s="106">
        <f>D28</f>
        <v>0</v>
      </c>
    </row>
    <row r="8" spans="2:5" x14ac:dyDescent="0.2">
      <c r="B8" s="164" t="s">
        <v>184</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0</v>
      </c>
      <c r="D15" s="457">
        <f>SUM(D9:D13)</f>
        <v>0</v>
      </c>
      <c r="E15" s="457">
        <f>SUM(E9:E13)</f>
        <v>0</v>
      </c>
    </row>
    <row r="16" spans="2:5" x14ac:dyDescent="0.2">
      <c r="B16" s="145" t="s">
        <v>89</v>
      </c>
      <c r="C16" s="457">
        <f>C15+C7</f>
        <v>0</v>
      </c>
      <c r="D16" s="457">
        <f>D15+D7</f>
        <v>0</v>
      </c>
      <c r="E16" s="457">
        <f>E15+E7</f>
        <v>0</v>
      </c>
    </row>
    <row r="17" spans="2:5" x14ac:dyDescent="0.2">
      <c r="B17" s="60" t="s">
        <v>92</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0</v>
      </c>
      <c r="D27" s="457">
        <f>SUM(D18:D25)</f>
        <v>0</v>
      </c>
      <c r="E27" s="457">
        <f>SUM(E18:E25)</f>
        <v>0</v>
      </c>
    </row>
    <row r="28" spans="2:5" x14ac:dyDescent="0.2">
      <c r="B28" s="60" t="s">
        <v>183</v>
      </c>
      <c r="C28" s="106">
        <f>C16-C27</f>
        <v>0</v>
      </c>
      <c r="D28" s="106">
        <f>D16-D27</f>
        <v>0</v>
      </c>
      <c r="E28" s="106">
        <f>E16-E27</f>
        <v>0</v>
      </c>
    </row>
    <row r="29" spans="2:5" x14ac:dyDescent="0.2">
      <c r="B29" s="135" t="str">
        <f>CONCATENATE("",E1-2,"/",E1-1,"/",E1," Budget Authority Amount:")</f>
        <v>2022/2023/2024 Budget Authority Amount:</v>
      </c>
      <c r="C29" s="167">
        <f>inputOth!B66</f>
        <v>0</v>
      </c>
      <c r="D29" s="167">
        <f>inputPrYr!D42</f>
        <v>1400000</v>
      </c>
      <c r="E29" s="338">
        <f>E27</f>
        <v>0</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6" t="e">
        <f>inputPrYr!#REF!</f>
        <v>#REF!</v>
      </c>
      <c r="C35" s="104" t="str">
        <f t="shared" si="0"/>
        <v>Actual for 2022</v>
      </c>
      <c r="D35" s="104" t="str">
        <f t="shared" si="0"/>
        <v>Estimate for 2023</v>
      </c>
      <c r="E35" s="104" t="str">
        <f t="shared" si="0"/>
        <v>Year for 2024</v>
      </c>
    </row>
    <row r="36" spans="2:5" x14ac:dyDescent="0.2">
      <c r="B36" s="60" t="s">
        <v>182</v>
      </c>
      <c r="C36" s="42"/>
      <c r="D36" s="106">
        <f>C57</f>
        <v>0</v>
      </c>
      <c r="E36" s="106">
        <f>D57</f>
        <v>0</v>
      </c>
    </row>
    <row r="37" spans="2:5" x14ac:dyDescent="0.2">
      <c r="B37" s="60" t="s">
        <v>184</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0</v>
      </c>
      <c r="D44" s="457">
        <f>SUM(D38:D42)</f>
        <v>0</v>
      </c>
      <c r="E44" s="457">
        <f>SUM(E38:E42)</f>
        <v>0</v>
      </c>
    </row>
    <row r="45" spans="2:5" x14ac:dyDescent="0.2">
      <c r="B45" s="145" t="s">
        <v>89</v>
      </c>
      <c r="C45" s="457">
        <f>C36+C44</f>
        <v>0</v>
      </c>
      <c r="D45" s="457">
        <f>D36+D44</f>
        <v>0</v>
      </c>
      <c r="E45" s="457">
        <f>E36+E44</f>
        <v>0</v>
      </c>
    </row>
    <row r="46" spans="2:5" x14ac:dyDescent="0.2">
      <c r="B46" s="60" t="s">
        <v>92</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43" t="str">
        <f>CONCATENATE("Cash Forward (",E1," column)")</f>
        <v>Cash Forward (2024 column)</v>
      </c>
      <c r="C53" s="42"/>
      <c r="D53" s="42"/>
      <c r="E53" s="42"/>
    </row>
    <row r="54" spans="2:5" x14ac:dyDescent="0.2">
      <c r="B54" s="143" t="s">
        <v>38</v>
      </c>
      <c r="C54" s="42"/>
      <c r="D54" s="138"/>
      <c r="E54" s="138"/>
    </row>
    <row r="55" spans="2:5" x14ac:dyDescent="0.2">
      <c r="B55" s="143" t="s">
        <v>277</v>
      </c>
      <c r="C55" s="243" t="str">
        <f>IF(C56*0.1&lt;C54,"Exceed 10% Rule","")</f>
        <v/>
      </c>
      <c r="D55" s="144" t="str">
        <f>IF(D56*0.1&lt;D54,"Exceed 10% Rule","")</f>
        <v/>
      </c>
      <c r="E55" s="144" t="str">
        <f>IF(E56*0.1&lt;E54,"Exceed 10% Rule","")</f>
        <v/>
      </c>
    </row>
    <row r="56" spans="2:5" x14ac:dyDescent="0.2">
      <c r="B56" s="145" t="s">
        <v>93</v>
      </c>
      <c r="C56" s="457">
        <f>SUM(C47:C54)</f>
        <v>0</v>
      </c>
      <c r="D56" s="457">
        <f>SUM(D47:D54)</f>
        <v>0</v>
      </c>
      <c r="E56" s="457">
        <f>SUM(E47:E54)</f>
        <v>0</v>
      </c>
    </row>
    <row r="57" spans="2:5" x14ac:dyDescent="0.2">
      <c r="B57" s="60" t="s">
        <v>183</v>
      </c>
      <c r="C57" s="106">
        <f>C45-C56</f>
        <v>0</v>
      </c>
      <c r="D57" s="106">
        <f>D45-D56</f>
        <v>0</v>
      </c>
      <c r="E57" s="106">
        <f>E45-E56</f>
        <v>0</v>
      </c>
    </row>
    <row r="58" spans="2:5" x14ac:dyDescent="0.2">
      <c r="B58" s="135" t="str">
        <f>CONCATENATE("",E1-2,"/",E1-1,"/",E1," Budget Authority Amount:")</f>
        <v>2022/2023/2024 Budget Authority Amount:</v>
      </c>
      <c r="C58" s="167">
        <f>inputOth!B67</f>
        <v>0</v>
      </c>
      <c r="D58" s="167" t="e">
        <f>inputPrYr!#REF!</f>
        <v>#REF!</v>
      </c>
      <c r="E58" s="338">
        <f>E56</f>
        <v>0</v>
      </c>
    </row>
    <row r="59" spans="2:5" x14ac:dyDescent="0.2">
      <c r="B59" s="125"/>
      <c r="C59" s="152" t="str">
        <f>IF(C56&gt;C58,"See Tab A","")</f>
        <v/>
      </c>
      <c r="D59" s="152" t="e">
        <f>IF(D56&gt;D58,"See Tab C","")</f>
        <v>#REF!</v>
      </c>
      <c r="E59" s="340" t="str">
        <f>IF(E57&lt;0,"See Tab E","")</f>
        <v/>
      </c>
    </row>
    <row r="60" spans="2:5" x14ac:dyDescent="0.2">
      <c r="B60" s="419" t="s">
        <v>341</v>
      </c>
      <c r="C60" s="340"/>
      <c r="D60" s="340"/>
      <c r="E60" s="409"/>
    </row>
    <row r="61" spans="2:5" x14ac:dyDescent="0.2">
      <c r="B61" s="410"/>
      <c r="C61" s="152"/>
      <c r="D61" s="152"/>
      <c r="E61" s="411"/>
    </row>
    <row r="62" spans="2:5" x14ac:dyDescent="0.2">
      <c r="B62" s="412"/>
      <c r="C62" s="413" t="str">
        <f>IF(C57&lt;0,"See Tab B","")</f>
        <v/>
      </c>
      <c r="D62" s="413" t="str">
        <f>IF(D57&lt;0,"See Tab D","")</f>
        <v/>
      </c>
      <c r="E62" s="47"/>
    </row>
    <row r="63" spans="2:5" x14ac:dyDescent="0.2">
      <c r="B63" s="26"/>
      <c r="C63" s="26"/>
      <c r="D63" s="26"/>
      <c r="E63" s="26"/>
    </row>
    <row r="64" spans="2:5" x14ac:dyDescent="0.2">
      <c r="B64" s="125" t="s">
        <v>133</v>
      </c>
      <c r="C64" s="362"/>
      <c r="D64" s="26"/>
      <c r="E64" s="26"/>
    </row>
  </sheetData>
  <sheetProtection sheet="1" objects="1" scenarios="1"/>
  <phoneticPr fontId="0" type="noConversion"/>
  <conditionalFormatting sqref="C25">
    <cfRule type="cellIs" dxfId="63" priority="3" stopIfTrue="1" operator="greaterThan">
      <formula>$C$27*0.1</formula>
    </cfRule>
  </conditionalFormatting>
  <conditionalFormatting sqref="D25">
    <cfRule type="cellIs" dxfId="62" priority="4" stopIfTrue="1" operator="greaterThan">
      <formula>$D$27*0.1</formula>
    </cfRule>
  </conditionalFormatting>
  <conditionalFormatting sqref="E25">
    <cfRule type="cellIs" dxfId="61" priority="5" stopIfTrue="1" operator="greaterThan">
      <formula>$E$27*0.1</formula>
    </cfRule>
  </conditionalFormatting>
  <conditionalFormatting sqref="C13">
    <cfRule type="cellIs" dxfId="60" priority="6" stopIfTrue="1" operator="greaterThan">
      <formula>$C$15*0.1</formula>
    </cfRule>
  </conditionalFormatting>
  <conditionalFormatting sqref="D13">
    <cfRule type="cellIs" dxfId="59" priority="7" stopIfTrue="1" operator="greaterThan">
      <formula>$D$15*0.1</formula>
    </cfRule>
  </conditionalFormatting>
  <conditionalFormatting sqref="E13">
    <cfRule type="cellIs" dxfId="58" priority="8" stopIfTrue="1" operator="greaterThan">
      <formula>$E$15*0.1</formula>
    </cfRule>
  </conditionalFormatting>
  <conditionalFormatting sqref="C42">
    <cfRule type="cellIs" dxfId="57" priority="9" stopIfTrue="1" operator="greaterThan">
      <formula>$C$44*0.1</formula>
    </cfRule>
  </conditionalFormatting>
  <conditionalFormatting sqref="D42">
    <cfRule type="cellIs" dxfId="56" priority="10" stopIfTrue="1" operator="greaterThan">
      <formula>$D$44*0.1</formula>
    </cfRule>
  </conditionalFormatting>
  <conditionalFormatting sqref="E42">
    <cfRule type="cellIs" dxfId="55" priority="11" stopIfTrue="1" operator="greaterThan">
      <formula>$E$44*0.1</formula>
    </cfRule>
  </conditionalFormatting>
  <conditionalFormatting sqref="C54">
    <cfRule type="cellIs" dxfId="54" priority="12" stopIfTrue="1" operator="greaterThan">
      <formula>$C$56*0.1</formula>
    </cfRule>
  </conditionalFormatting>
  <conditionalFormatting sqref="D54">
    <cfRule type="cellIs" dxfId="53" priority="13" stopIfTrue="1" operator="greaterThan">
      <formula>$D$56*0.1</formula>
    </cfRule>
  </conditionalFormatting>
  <conditionalFormatting sqref="E54">
    <cfRule type="cellIs" dxfId="52" priority="14" stopIfTrue="1" operator="greaterThan">
      <formula>$E$56*0.1</formula>
    </cfRule>
  </conditionalFormatting>
  <pageMargins left="1.1200000000000001" right="0.5" top="0.74" bottom="0.34" header="0.5" footer="0"/>
  <pageSetup scale="71" orientation="portrait" blackAndWhite="1" horizontalDpi="120" verticalDpi="144" r:id="rId1"/>
  <headerFooter alignWithMargins="0">
    <oddHeader xml:space="preserve">&amp;RState of Kansas
County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F0"/>
    <pageSetUpPr fitToPage="1"/>
  </sheetPr>
  <dimension ref="B1:E65"/>
  <sheetViews>
    <sheetView topLeftCell="A19" workbookViewId="0">
      <selection activeCell="C66" sqref="C66"/>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t="str">
        <f>inputPrYr!B43</f>
        <v>FEMA</v>
      </c>
      <c r="C6" s="104" t="str">
        <f>General!C5</f>
        <v>Actual for 2022</v>
      </c>
      <c r="D6" s="104" t="str">
        <f>General!D5</f>
        <v>Estimate for 2023</v>
      </c>
      <c r="E6" s="104" t="str">
        <f>General!E5</f>
        <v>Year for 2024</v>
      </c>
    </row>
    <row r="7" spans="2:5" x14ac:dyDescent="0.2">
      <c r="B7" s="60" t="s">
        <v>182</v>
      </c>
      <c r="C7" s="42"/>
      <c r="D7" s="106">
        <f>C28</f>
        <v>0</v>
      </c>
      <c r="E7" s="106">
        <f>D28</f>
        <v>0</v>
      </c>
    </row>
    <row r="8" spans="2:5" x14ac:dyDescent="0.2">
      <c r="B8" s="164" t="s">
        <v>184</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0</v>
      </c>
      <c r="D15" s="457">
        <f>SUM(D9:D13)</f>
        <v>0</v>
      </c>
      <c r="E15" s="457">
        <f>SUM(E9:E13)</f>
        <v>0</v>
      </c>
    </row>
    <row r="16" spans="2:5" x14ac:dyDescent="0.2">
      <c r="B16" s="145" t="s">
        <v>89</v>
      </c>
      <c r="C16" s="457">
        <f>C15+C7</f>
        <v>0</v>
      </c>
      <c r="D16" s="457">
        <f>D15+D7</f>
        <v>0</v>
      </c>
      <c r="E16" s="457">
        <f>E15+E7</f>
        <v>0</v>
      </c>
    </row>
    <row r="17" spans="2:5" x14ac:dyDescent="0.2">
      <c r="B17" s="60" t="s">
        <v>92</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0</v>
      </c>
      <c r="D27" s="457">
        <f>SUM(D18:D25)</f>
        <v>0</v>
      </c>
      <c r="E27" s="457">
        <f>SUM(E18:E25)</f>
        <v>0</v>
      </c>
    </row>
    <row r="28" spans="2:5" x14ac:dyDescent="0.2">
      <c r="B28" s="60" t="s">
        <v>183</v>
      </c>
      <c r="C28" s="106">
        <f>C16-C27</f>
        <v>0</v>
      </c>
      <c r="D28" s="106">
        <f>D16-D27</f>
        <v>0</v>
      </c>
      <c r="E28" s="106">
        <f>E16-E27</f>
        <v>0</v>
      </c>
    </row>
    <row r="29" spans="2:5" x14ac:dyDescent="0.2">
      <c r="B29" s="135" t="str">
        <f>CONCATENATE("",E1-2,"/",E1-1,"/",E1," Budget Authority Amount:")</f>
        <v>2022/2023/2024 Budget Authority Amount:</v>
      </c>
      <c r="C29" s="167">
        <f>inputOth!B68</f>
        <v>200000</v>
      </c>
      <c r="D29" s="167">
        <f>inputPrYr!D43</f>
        <v>200000</v>
      </c>
      <c r="E29" s="338">
        <f>E27</f>
        <v>0</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6" t="str">
        <f>inputPrYr!B44</f>
        <v>911 Fund</v>
      </c>
      <c r="C35" s="129" t="str">
        <f t="shared" si="0"/>
        <v>Actual for 2022</v>
      </c>
      <c r="D35" s="129" t="str">
        <f t="shared" si="0"/>
        <v>Estimate for 2023</v>
      </c>
      <c r="E35" s="129" t="str">
        <f t="shared" si="0"/>
        <v>Year for 2024</v>
      </c>
    </row>
    <row r="36" spans="2:5" x14ac:dyDescent="0.2">
      <c r="B36" s="60" t="s">
        <v>182</v>
      </c>
      <c r="C36" s="42"/>
      <c r="D36" s="106">
        <f>C58</f>
        <v>0</v>
      </c>
      <c r="E36" s="106">
        <f>D58</f>
        <v>0</v>
      </c>
    </row>
    <row r="37" spans="2:5" x14ac:dyDescent="0.2">
      <c r="B37" s="60" t="s">
        <v>184</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0</v>
      </c>
      <c r="D44" s="457">
        <f>SUM(D38:D42)</f>
        <v>0</v>
      </c>
      <c r="E44" s="457">
        <f>SUM(E38:E42)</f>
        <v>0</v>
      </c>
    </row>
    <row r="45" spans="2:5" x14ac:dyDescent="0.2">
      <c r="B45" s="145" t="s">
        <v>89</v>
      </c>
      <c r="C45" s="457">
        <f>C36+C44</f>
        <v>0</v>
      </c>
      <c r="D45" s="457">
        <f>D36+D44</f>
        <v>0</v>
      </c>
      <c r="E45" s="457">
        <f>E36+E44</f>
        <v>0</v>
      </c>
    </row>
    <row r="46" spans="2:5" x14ac:dyDescent="0.2">
      <c r="B46" s="60" t="s">
        <v>92</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Forward (",E1," column)")</f>
        <v>Cash Forward (2024 column)</v>
      </c>
      <c r="C54" s="42"/>
      <c r="D54" s="42"/>
      <c r="E54" s="42"/>
    </row>
    <row r="55" spans="2:5" x14ac:dyDescent="0.2">
      <c r="B55" s="143" t="s">
        <v>38</v>
      </c>
      <c r="C55" s="42"/>
      <c r="D55" s="138"/>
      <c r="E55" s="138"/>
    </row>
    <row r="56" spans="2:5" x14ac:dyDescent="0.2">
      <c r="B56" s="143" t="s">
        <v>277</v>
      </c>
      <c r="C56" s="243" t="str">
        <f>IF(C57*0.1&lt;C55,"Exceed 10% Rule","")</f>
        <v/>
      </c>
      <c r="D56" s="144" t="str">
        <f>IF(D57*0.1&lt;D55,"Exceed 10% Rule","")</f>
        <v/>
      </c>
      <c r="E56" s="144" t="str">
        <f>IF(E57*0.1&lt;E55,"Exceed 10% Rule","")</f>
        <v/>
      </c>
    </row>
    <row r="57" spans="2:5" x14ac:dyDescent="0.2">
      <c r="B57" s="145" t="s">
        <v>93</v>
      </c>
      <c r="C57" s="457">
        <f>SUM(C47:C55)</f>
        <v>0</v>
      </c>
      <c r="D57" s="457">
        <f>SUM(D47:D55)</f>
        <v>0</v>
      </c>
      <c r="E57" s="457">
        <f>SUM(E47:E55)</f>
        <v>0</v>
      </c>
    </row>
    <row r="58" spans="2:5" x14ac:dyDescent="0.2">
      <c r="B58" s="60" t="s">
        <v>183</v>
      </c>
      <c r="C58" s="106">
        <f>C45-C57</f>
        <v>0</v>
      </c>
      <c r="D58" s="106">
        <f>D45-D57</f>
        <v>0</v>
      </c>
      <c r="E58" s="106">
        <f>E45-E57</f>
        <v>0</v>
      </c>
    </row>
    <row r="59" spans="2:5" x14ac:dyDescent="0.2">
      <c r="B59" s="135" t="str">
        <f>CONCATENATE("",E1-2,"/",E1-1,"/",E1," Budget Authority Amount:")</f>
        <v>2022/2023/2024 Budget Authority Amount:</v>
      </c>
      <c r="C59" s="167">
        <f>inputOth!B69</f>
        <v>75000</v>
      </c>
      <c r="D59" s="167">
        <f>inputPrYr!D44</f>
        <v>100000</v>
      </c>
      <c r="E59" s="338">
        <f>E57</f>
        <v>0</v>
      </c>
    </row>
    <row r="60" spans="2:5" x14ac:dyDescent="0.2">
      <c r="B60" s="125"/>
      <c r="C60" s="152" t="str">
        <f>IF(C57&gt;C59,"See Tab A","")</f>
        <v/>
      </c>
      <c r="D60" s="152" t="str">
        <f>IF(D57&gt;D59,"See Tab C","")</f>
        <v/>
      </c>
      <c r="E60" s="340" t="str">
        <f>IF(E58&lt;0,"See Tab E","")</f>
        <v/>
      </c>
    </row>
    <row r="61" spans="2:5" x14ac:dyDescent="0.2">
      <c r="B61" s="419" t="s">
        <v>341</v>
      </c>
      <c r="C61" s="340"/>
      <c r="D61" s="340"/>
      <c r="E61" s="409"/>
    </row>
    <row r="62" spans="2:5" x14ac:dyDescent="0.2">
      <c r="B62" s="410"/>
      <c r="C62" s="152"/>
      <c r="D62" s="152"/>
      <c r="E62" s="411"/>
    </row>
    <row r="63" spans="2:5" x14ac:dyDescent="0.2">
      <c r="B63" s="412"/>
      <c r="C63" s="413" t="str">
        <f>IF(C58&lt;0,"See Tab B","")</f>
        <v/>
      </c>
      <c r="D63" s="413" t="str">
        <f>IF(D58&lt;0,"See Tab D","")</f>
        <v/>
      </c>
      <c r="E63" s="47"/>
    </row>
    <row r="64" spans="2:5" x14ac:dyDescent="0.2">
      <c r="B64" s="26"/>
      <c r="C64" s="26"/>
      <c r="D64" s="26"/>
      <c r="E64" s="26"/>
    </row>
    <row r="65" spans="2:5" x14ac:dyDescent="0.2">
      <c r="B65" s="125" t="s">
        <v>133</v>
      </c>
      <c r="C65" s="362">
        <v>19</v>
      </c>
      <c r="D65" s="26"/>
      <c r="E65" s="26"/>
    </row>
  </sheetData>
  <sheetProtection sheet="1" objects="1" scenarios="1"/>
  <phoneticPr fontId="0" type="noConversion"/>
  <conditionalFormatting sqref="C25">
    <cfRule type="cellIs" dxfId="51" priority="2" stopIfTrue="1" operator="greaterThan">
      <formula>$C$27*0.1</formula>
    </cfRule>
  </conditionalFormatting>
  <conditionalFormatting sqref="D25">
    <cfRule type="cellIs" dxfId="50" priority="3" stopIfTrue="1" operator="greaterThan">
      <formula>$D$27*0.1</formula>
    </cfRule>
  </conditionalFormatting>
  <conditionalFormatting sqref="E25">
    <cfRule type="cellIs" dxfId="49" priority="4" stopIfTrue="1" operator="greaterThan">
      <formula>$E$27*0.1</formula>
    </cfRule>
  </conditionalFormatting>
  <conditionalFormatting sqref="C13">
    <cfRule type="cellIs" dxfId="48" priority="5" stopIfTrue="1" operator="greaterThan">
      <formula>$C$15*0.1</formula>
    </cfRule>
  </conditionalFormatting>
  <conditionalFormatting sqref="D13">
    <cfRule type="cellIs" dxfId="47" priority="6" stopIfTrue="1" operator="greaterThan">
      <formula>$D$15*0.1</formula>
    </cfRule>
  </conditionalFormatting>
  <conditionalFormatting sqref="E13">
    <cfRule type="cellIs" dxfId="46" priority="7" stopIfTrue="1" operator="greaterThan">
      <formula>$E$15*0.1</formula>
    </cfRule>
  </conditionalFormatting>
  <conditionalFormatting sqref="C42">
    <cfRule type="cellIs" dxfId="45" priority="8" stopIfTrue="1" operator="greaterThan">
      <formula>$C$44*0.1</formula>
    </cfRule>
  </conditionalFormatting>
  <conditionalFormatting sqref="D42">
    <cfRule type="cellIs" dxfId="44" priority="9" stopIfTrue="1" operator="greaterThan">
      <formula>$D$44*0.1</formula>
    </cfRule>
  </conditionalFormatting>
  <conditionalFormatting sqref="E42">
    <cfRule type="cellIs" dxfId="43" priority="10" stopIfTrue="1" operator="greaterThan">
      <formula>$E$44*0.1</formula>
    </cfRule>
  </conditionalFormatting>
  <conditionalFormatting sqref="C55">
    <cfRule type="cellIs" dxfId="42" priority="11" stopIfTrue="1" operator="greaterThan">
      <formula>$C$57*0.1</formula>
    </cfRule>
  </conditionalFormatting>
  <conditionalFormatting sqref="D55">
    <cfRule type="cellIs" dxfId="41" priority="12" stopIfTrue="1" operator="greaterThan">
      <formula>$D$57*0.1</formula>
    </cfRule>
  </conditionalFormatting>
  <conditionalFormatting sqref="E55">
    <cfRule type="cellIs" dxfId="40" priority="13" stopIfTrue="1" operator="greaterThan">
      <formula>$E$57*0.1</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F0"/>
    <pageSetUpPr fitToPage="1"/>
  </sheetPr>
  <dimension ref="B1:E78"/>
  <sheetViews>
    <sheetView workbookViewId="0">
      <selection activeCell="C66" sqref="C66"/>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t="str">
        <f>inputPrYr!B45</f>
        <v>Equipment Reserve</v>
      </c>
      <c r="C6" s="104" t="str">
        <f>General!C5</f>
        <v>Actual for 2022</v>
      </c>
      <c r="D6" s="104" t="str">
        <f>General!D5</f>
        <v>Estimate for 2023</v>
      </c>
      <c r="E6" s="136" t="str">
        <f>General!E5</f>
        <v>Year for 2024</v>
      </c>
    </row>
    <row r="7" spans="2:5" x14ac:dyDescent="0.2">
      <c r="B7" s="60" t="s">
        <v>182</v>
      </c>
      <c r="C7" s="42"/>
      <c r="D7" s="106">
        <f>C28</f>
        <v>0</v>
      </c>
      <c r="E7" s="106">
        <f>D28</f>
        <v>0</v>
      </c>
    </row>
    <row r="8" spans="2:5" x14ac:dyDescent="0.2">
      <c r="B8" s="164" t="s">
        <v>184</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0</v>
      </c>
      <c r="D15" s="457">
        <f>SUM(D9:D13)</f>
        <v>0</v>
      </c>
      <c r="E15" s="457">
        <f>SUM(E9:E13)</f>
        <v>0</v>
      </c>
    </row>
    <row r="16" spans="2:5" x14ac:dyDescent="0.2">
      <c r="B16" s="145" t="s">
        <v>89</v>
      </c>
      <c r="C16" s="457">
        <f>C15+C7</f>
        <v>0</v>
      </c>
      <c r="D16" s="457">
        <f>D15+D7</f>
        <v>0</v>
      </c>
      <c r="E16" s="457">
        <f>E15+E7</f>
        <v>0</v>
      </c>
    </row>
    <row r="17" spans="2:5" x14ac:dyDescent="0.2">
      <c r="B17" s="60" t="s">
        <v>92</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0</v>
      </c>
      <c r="D27" s="457">
        <f>SUM(D18:D25)</f>
        <v>0</v>
      </c>
      <c r="E27" s="457">
        <f>SUM(E18:E25)</f>
        <v>0</v>
      </c>
    </row>
    <row r="28" spans="2:5" x14ac:dyDescent="0.2">
      <c r="B28" s="60" t="s">
        <v>183</v>
      </c>
      <c r="C28" s="106">
        <f>C16-C27</f>
        <v>0</v>
      </c>
      <c r="D28" s="106">
        <f>D16-D27</f>
        <v>0</v>
      </c>
      <c r="E28" s="106">
        <f>E16-E27</f>
        <v>0</v>
      </c>
    </row>
    <row r="29" spans="2:5" x14ac:dyDescent="0.2">
      <c r="B29" s="135" t="str">
        <f>CONCATENATE("",E1-2,"/",E1-1,"/",E1," Budget Authority Amount:")</f>
        <v>2022/2023/2024 Budget Authority Amount:</v>
      </c>
      <c r="C29" s="167">
        <f>inputOth!B70</f>
        <v>195000</v>
      </c>
      <c r="D29" s="167">
        <f>inputPrYr!D45</f>
        <v>0</v>
      </c>
      <c r="E29" s="338">
        <f>E27</f>
        <v>0</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t="e">
        <f>inputPrYr!#REF!</f>
        <v>#REF!</v>
      </c>
      <c r="C35" s="104" t="str">
        <f t="shared" si="0"/>
        <v>Actual for 2022</v>
      </c>
      <c r="D35" s="104" t="str">
        <f t="shared" si="0"/>
        <v>Estimate for 2023</v>
      </c>
      <c r="E35" s="136" t="str">
        <f t="shared" si="0"/>
        <v>Year for 2024</v>
      </c>
    </row>
    <row r="36" spans="2:5" x14ac:dyDescent="0.2">
      <c r="B36" s="60" t="s">
        <v>182</v>
      </c>
      <c r="C36" s="42"/>
      <c r="D36" s="106">
        <f>C58</f>
        <v>0</v>
      </c>
      <c r="E36" s="106">
        <f>D58</f>
        <v>0</v>
      </c>
    </row>
    <row r="37" spans="2:5" x14ac:dyDescent="0.2">
      <c r="B37" s="164" t="s">
        <v>184</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0</v>
      </c>
      <c r="D44" s="457">
        <f>SUM(D38:D42)</f>
        <v>0</v>
      </c>
      <c r="E44" s="457">
        <f>SUM(E38:E42)</f>
        <v>0</v>
      </c>
    </row>
    <row r="45" spans="2:5" x14ac:dyDescent="0.2">
      <c r="B45" s="145" t="s">
        <v>89</v>
      </c>
      <c r="C45" s="457">
        <f>C36+C44</f>
        <v>0</v>
      </c>
      <c r="D45" s="457">
        <f>D36+D44</f>
        <v>0</v>
      </c>
      <c r="E45" s="457">
        <f>E36+E44</f>
        <v>0</v>
      </c>
    </row>
    <row r="46" spans="2:5" x14ac:dyDescent="0.2">
      <c r="B46" s="60" t="s">
        <v>92</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Forward (",E1," column)")</f>
        <v>Cash Forward (2024 column)</v>
      </c>
      <c r="C54" s="42"/>
      <c r="D54" s="42"/>
      <c r="E54" s="42"/>
    </row>
    <row r="55" spans="2:5" x14ac:dyDescent="0.2">
      <c r="B55" s="143" t="s">
        <v>38</v>
      </c>
      <c r="C55" s="42"/>
      <c r="D55" s="138"/>
      <c r="E55" s="138"/>
    </row>
    <row r="56" spans="2:5" x14ac:dyDescent="0.2">
      <c r="B56" s="143" t="s">
        <v>277</v>
      </c>
      <c r="C56" s="243" t="str">
        <f>IF(C57*0.1&lt;C55,"Exceed 10% Rule","")</f>
        <v/>
      </c>
      <c r="D56" s="144" t="str">
        <f>IF(D57*0.1&lt;D55,"Exceed 10% Rule","")</f>
        <v/>
      </c>
      <c r="E56" s="144" t="str">
        <f>IF(E57*0.1&lt;E55,"Exceed 10% Rule","")</f>
        <v/>
      </c>
    </row>
    <row r="57" spans="2:5" x14ac:dyDescent="0.2">
      <c r="B57" s="145" t="s">
        <v>93</v>
      </c>
      <c r="C57" s="457">
        <f>SUM(C47:C55)</f>
        <v>0</v>
      </c>
      <c r="D57" s="457">
        <f>SUM(D47:D55)</f>
        <v>0</v>
      </c>
      <c r="E57" s="457">
        <f>SUM(E47:E55)</f>
        <v>0</v>
      </c>
    </row>
    <row r="58" spans="2:5" x14ac:dyDescent="0.2">
      <c r="B58" s="60" t="s">
        <v>183</v>
      </c>
      <c r="C58" s="106">
        <f>C45-C57</f>
        <v>0</v>
      </c>
      <c r="D58" s="106">
        <f>D45-D57</f>
        <v>0</v>
      </c>
      <c r="E58" s="106">
        <f>E45-E57</f>
        <v>0</v>
      </c>
    </row>
    <row r="59" spans="2:5" x14ac:dyDescent="0.2">
      <c r="B59" s="135" t="str">
        <f>CONCATENATE("",E1-2,"/",E1-1,"/",E1," Budget Authority Amount:")</f>
        <v>2022/2023/2024 Budget Authority Amount:</v>
      </c>
      <c r="C59" s="167">
        <f>inputOth!B71</f>
        <v>5000</v>
      </c>
      <c r="D59" s="167" t="e">
        <f>inputPrYr!#REF!</f>
        <v>#REF!</v>
      </c>
      <c r="E59" s="338">
        <f>E57</f>
        <v>0</v>
      </c>
    </row>
    <row r="60" spans="2:5" x14ac:dyDescent="0.2">
      <c r="B60" s="125"/>
      <c r="C60" s="152" t="str">
        <f>IF(C57&gt;C59,"See Tab A","")</f>
        <v/>
      </c>
      <c r="D60" s="152" t="e">
        <f>IF(D57&gt;D59,"See Tab C","")</f>
        <v>#REF!</v>
      </c>
      <c r="E60" s="340" t="str">
        <f>IF(E58&lt;0,"See Tab E","")</f>
        <v/>
      </c>
    </row>
    <row r="61" spans="2:5" x14ac:dyDescent="0.2">
      <c r="B61" s="419" t="s">
        <v>341</v>
      </c>
      <c r="C61" s="340"/>
      <c r="D61" s="340"/>
      <c r="E61" s="409"/>
    </row>
    <row r="62" spans="2:5" x14ac:dyDescent="0.2">
      <c r="B62" s="410"/>
      <c r="C62" s="152"/>
      <c r="D62" s="152"/>
      <c r="E62" s="411"/>
    </row>
    <row r="63" spans="2:5" x14ac:dyDescent="0.2">
      <c r="B63" s="412"/>
      <c r="C63" s="413" t="str">
        <f>IF(C58&lt;0,"See Tab B","")</f>
        <v/>
      </c>
      <c r="D63" s="413" t="str">
        <f>IF(D58&lt;0,"See Tab D","")</f>
        <v/>
      </c>
      <c r="E63" s="47" t="s">
        <v>311</v>
      </c>
    </row>
    <row r="64" spans="2:5" x14ac:dyDescent="0.2">
      <c r="B64" s="26"/>
      <c r="C64" s="26"/>
      <c r="D64" s="26"/>
      <c r="E64" s="26"/>
    </row>
    <row r="65" spans="2:5" x14ac:dyDescent="0.2">
      <c r="B65" s="125" t="s">
        <v>133</v>
      </c>
      <c r="C65" s="362">
        <v>20</v>
      </c>
      <c r="D65" s="26"/>
      <c r="E65" s="26"/>
    </row>
    <row r="78" spans="2:5" x14ac:dyDescent="0.2">
      <c r="C78" s="418"/>
    </row>
  </sheetData>
  <sheetProtection sheet="1" objects="1" scenarios="1"/>
  <phoneticPr fontId="7" type="noConversion"/>
  <conditionalFormatting sqref="C25">
    <cfRule type="cellIs" dxfId="39" priority="3" stopIfTrue="1" operator="greaterThan">
      <formula>$C$27*0.1</formula>
    </cfRule>
  </conditionalFormatting>
  <conditionalFormatting sqref="D25">
    <cfRule type="cellIs" dxfId="38" priority="4" stopIfTrue="1" operator="greaterThan">
      <formula>$D$27*0.1</formula>
    </cfRule>
  </conditionalFormatting>
  <conditionalFormatting sqref="E25">
    <cfRule type="cellIs" dxfId="37" priority="5" stopIfTrue="1" operator="greaterThan">
      <formula>$E$27*0.1</formula>
    </cfRule>
  </conditionalFormatting>
  <conditionalFormatting sqref="C13">
    <cfRule type="cellIs" dxfId="36" priority="6" stopIfTrue="1" operator="greaterThan">
      <formula>$C$15*0.1</formula>
    </cfRule>
  </conditionalFormatting>
  <conditionalFormatting sqref="D13">
    <cfRule type="cellIs" dxfId="35" priority="7" stopIfTrue="1" operator="greaterThan">
      <formula>$D$15*0.1</formula>
    </cfRule>
  </conditionalFormatting>
  <conditionalFormatting sqref="E13">
    <cfRule type="cellIs" dxfId="34" priority="8" stopIfTrue="1" operator="greaterThan">
      <formula>$E$15*0.1</formula>
    </cfRule>
  </conditionalFormatting>
  <conditionalFormatting sqref="C42">
    <cfRule type="cellIs" dxfId="33" priority="9" stopIfTrue="1" operator="greaterThan">
      <formula>$C$44*0.1</formula>
    </cfRule>
  </conditionalFormatting>
  <conditionalFormatting sqref="D42">
    <cfRule type="cellIs" dxfId="32" priority="10" stopIfTrue="1" operator="greaterThan">
      <formula>$D$44*0.1</formula>
    </cfRule>
  </conditionalFormatting>
  <conditionalFormatting sqref="E42">
    <cfRule type="cellIs" dxfId="31" priority="11" stopIfTrue="1" operator="greaterThan">
      <formula>$E$44*0.1</formula>
    </cfRule>
  </conditionalFormatting>
  <conditionalFormatting sqref="C55">
    <cfRule type="cellIs" dxfId="30" priority="12" stopIfTrue="1" operator="greaterThan">
      <formula>$C$57*0.1</formula>
    </cfRule>
  </conditionalFormatting>
  <conditionalFormatting sqref="D55">
    <cfRule type="cellIs" dxfId="29" priority="13" stopIfTrue="1" operator="greaterThan">
      <formula>$D$57*0.1</formula>
    </cfRule>
  </conditionalFormatting>
  <conditionalFormatting sqref="E55">
    <cfRule type="cellIs" dxfId="28" priority="14" stopIfTrue="1" operator="greaterThan">
      <formula>$E$57*0.1</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F0"/>
    <pageSetUpPr fitToPage="1"/>
  </sheetPr>
  <dimension ref="B1:E65"/>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f>inputPrYr!B47</f>
        <v>0</v>
      </c>
      <c r="C6" s="104" t="str">
        <f>General!C5</f>
        <v>Actual for 2022</v>
      </c>
      <c r="D6" s="104" t="str">
        <f>General!D5</f>
        <v>Estimate for 2023</v>
      </c>
      <c r="E6" s="136" t="str">
        <f>General!E5</f>
        <v>Year for 2024</v>
      </c>
    </row>
    <row r="7" spans="2:5" x14ac:dyDescent="0.2">
      <c r="B7" s="60" t="s">
        <v>182</v>
      </c>
      <c r="C7" s="42"/>
      <c r="D7" s="106">
        <f>C28</f>
        <v>0</v>
      </c>
      <c r="E7" s="106">
        <f>D28</f>
        <v>0</v>
      </c>
    </row>
    <row r="8" spans="2:5" x14ac:dyDescent="0.2">
      <c r="B8" s="164" t="s">
        <v>184</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0</v>
      </c>
      <c r="D15" s="457">
        <f>SUM(D9:D13)</f>
        <v>0</v>
      </c>
      <c r="E15" s="457">
        <f>SUM(E9:E13)</f>
        <v>0</v>
      </c>
    </row>
    <row r="16" spans="2:5" x14ac:dyDescent="0.2">
      <c r="B16" s="145" t="s">
        <v>89</v>
      </c>
      <c r="C16" s="457">
        <f>C15+C7</f>
        <v>0</v>
      </c>
      <c r="D16" s="457">
        <f>D15+D7</f>
        <v>0</v>
      </c>
      <c r="E16" s="457">
        <f>E15+E7</f>
        <v>0</v>
      </c>
    </row>
    <row r="17" spans="2:5" x14ac:dyDescent="0.2">
      <c r="B17" s="60" t="s">
        <v>92</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0</v>
      </c>
      <c r="D27" s="457">
        <f>SUM(D18:D25)</f>
        <v>0</v>
      </c>
      <c r="E27" s="457">
        <f>SUM(E18:E25)</f>
        <v>0</v>
      </c>
    </row>
    <row r="28" spans="2:5" x14ac:dyDescent="0.2">
      <c r="B28" s="60" t="s">
        <v>183</v>
      </c>
      <c r="C28" s="106">
        <f>C16-C27</f>
        <v>0</v>
      </c>
      <c r="D28" s="106">
        <f>D16-D27</f>
        <v>0</v>
      </c>
      <c r="E28" s="106">
        <f>E16-E27</f>
        <v>0</v>
      </c>
    </row>
    <row r="29" spans="2:5" x14ac:dyDescent="0.2">
      <c r="B29" s="135" t="str">
        <f>CONCATENATE("",E1-2,"/",E1-1,"/",E1," Budget Authority Amount:")</f>
        <v>2022/2023/2024 Budget Authority Amount:</v>
      </c>
      <c r="C29" s="167">
        <f>inputOth!B72</f>
        <v>5000</v>
      </c>
      <c r="D29" s="167">
        <f>inputPrYr!D47</f>
        <v>0</v>
      </c>
      <c r="E29" s="338">
        <f>E27</f>
        <v>0</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6">
        <f>inputPrYr!B48</f>
        <v>0</v>
      </c>
      <c r="C35" s="104" t="str">
        <f t="shared" si="0"/>
        <v>Actual for 2022</v>
      </c>
      <c r="D35" s="104" t="str">
        <f t="shared" si="0"/>
        <v>Estimate for 2023</v>
      </c>
      <c r="E35" s="136" t="str">
        <f t="shared" si="0"/>
        <v>Year for 2024</v>
      </c>
    </row>
    <row r="36" spans="2:5" x14ac:dyDescent="0.2">
      <c r="B36" s="60" t="s">
        <v>182</v>
      </c>
      <c r="C36" s="42"/>
      <c r="D36" s="106">
        <f>C58</f>
        <v>0</v>
      </c>
      <c r="E36" s="106">
        <f>D58</f>
        <v>0</v>
      </c>
    </row>
    <row r="37" spans="2:5" x14ac:dyDescent="0.2">
      <c r="B37" s="60" t="s">
        <v>184</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0</v>
      </c>
      <c r="D44" s="457">
        <f>SUM(D38:D42)</f>
        <v>0</v>
      </c>
      <c r="E44" s="457">
        <f>SUM(E38:E42)</f>
        <v>0</v>
      </c>
    </row>
    <row r="45" spans="2:5" x14ac:dyDescent="0.2">
      <c r="B45" s="145" t="s">
        <v>89</v>
      </c>
      <c r="C45" s="457">
        <f>C36+C44</f>
        <v>0</v>
      </c>
      <c r="D45" s="457">
        <f>D36+D44</f>
        <v>0</v>
      </c>
      <c r="E45" s="457">
        <f>E36+E44</f>
        <v>0</v>
      </c>
    </row>
    <row r="46" spans="2:5" x14ac:dyDescent="0.2">
      <c r="B46" s="60" t="s">
        <v>92</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Forward (",E1," column)")</f>
        <v>Cash Forward (2024 column)</v>
      </c>
      <c r="C54" s="42"/>
      <c r="D54" s="42"/>
      <c r="E54" s="42"/>
    </row>
    <row r="55" spans="2:5" x14ac:dyDescent="0.2">
      <c r="B55" s="143" t="s">
        <v>38</v>
      </c>
      <c r="C55" s="42"/>
      <c r="D55" s="138"/>
      <c r="E55" s="138"/>
    </row>
    <row r="56" spans="2:5" x14ac:dyDescent="0.2">
      <c r="B56" s="143" t="s">
        <v>277</v>
      </c>
      <c r="C56" s="243" t="str">
        <f>IF(C57*0.1&lt;C55,"Exceed 10% Rule","")</f>
        <v/>
      </c>
      <c r="D56" s="144" t="str">
        <f>IF(D57*0.1&lt;D55,"Exceed 10% Rule","")</f>
        <v/>
      </c>
      <c r="E56" s="144" t="str">
        <f>IF(E57*0.1&lt;E55,"Exceed 10% Rule","")</f>
        <v/>
      </c>
    </row>
    <row r="57" spans="2:5" x14ac:dyDescent="0.2">
      <c r="B57" s="145" t="s">
        <v>93</v>
      </c>
      <c r="C57" s="457">
        <f>SUM(C47:C55)</f>
        <v>0</v>
      </c>
      <c r="D57" s="457">
        <f>SUM(D47:D55)</f>
        <v>0</v>
      </c>
      <c r="E57" s="457">
        <f>SUM(E47:E55)</f>
        <v>0</v>
      </c>
    </row>
    <row r="58" spans="2:5" x14ac:dyDescent="0.2">
      <c r="B58" s="60" t="s">
        <v>183</v>
      </c>
      <c r="C58" s="106">
        <f>C45-C57</f>
        <v>0</v>
      </c>
      <c r="D58" s="106">
        <f>D45-D57</f>
        <v>0</v>
      </c>
      <c r="E58" s="106">
        <f>E45-E57</f>
        <v>0</v>
      </c>
    </row>
    <row r="59" spans="2:5" x14ac:dyDescent="0.2">
      <c r="B59" s="135" t="str">
        <f>CONCATENATE("",E1-2,"/",E1-1,"/",E1," Budget Authority Amount:")</f>
        <v>2022/2023/2024 Budget Authority Amount:</v>
      </c>
      <c r="C59" s="167">
        <f>inputOth!B73</f>
        <v>30000</v>
      </c>
      <c r="D59" s="167">
        <f>inputPrYr!D48</f>
        <v>0</v>
      </c>
      <c r="E59" s="338">
        <f>E57</f>
        <v>0</v>
      </c>
    </row>
    <row r="60" spans="2:5" x14ac:dyDescent="0.2">
      <c r="B60" s="125"/>
      <c r="C60" s="152" t="str">
        <f>IF(C57&gt;C59,"See Tab A","")</f>
        <v/>
      </c>
      <c r="D60" s="152" t="str">
        <f>IF(D57&gt;D59,"See Tab C","")</f>
        <v/>
      </c>
      <c r="E60" s="340" t="str">
        <f>IF(E58&lt;0,"See Tab E","")</f>
        <v/>
      </c>
    </row>
    <row r="61" spans="2:5" x14ac:dyDescent="0.2">
      <c r="B61" s="419" t="s">
        <v>341</v>
      </c>
      <c r="C61" s="340"/>
      <c r="D61" s="340"/>
      <c r="E61" s="409"/>
    </row>
    <row r="62" spans="2:5" x14ac:dyDescent="0.2">
      <c r="B62" s="410"/>
      <c r="C62" s="152"/>
      <c r="D62" s="152"/>
      <c r="E62" s="411"/>
    </row>
    <row r="63" spans="2:5" x14ac:dyDescent="0.2">
      <c r="B63" s="412"/>
      <c r="C63" s="413" t="str">
        <f>IF(C58&lt;0,"See Tab B","")</f>
        <v/>
      </c>
      <c r="D63" s="413" t="str">
        <f>IF(D58&lt;0,"See Tab D","")</f>
        <v/>
      </c>
      <c r="E63" s="47"/>
    </row>
    <row r="64" spans="2:5" x14ac:dyDescent="0.2">
      <c r="B64" s="26"/>
      <c r="C64" s="26"/>
      <c r="D64" s="26"/>
      <c r="E64" s="26"/>
    </row>
    <row r="65" spans="2:5" x14ac:dyDescent="0.2">
      <c r="B65" s="125" t="s">
        <v>133</v>
      </c>
      <c r="C65" s="362"/>
      <c r="D65" s="26"/>
      <c r="E65" s="26"/>
    </row>
  </sheetData>
  <sheetProtection sheet="1" objects="1" scenarios="1"/>
  <phoneticPr fontId="7" type="noConversion"/>
  <conditionalFormatting sqref="C25">
    <cfRule type="cellIs" dxfId="27" priority="3" stopIfTrue="1" operator="greaterThan">
      <formula>$C$27*0.1</formula>
    </cfRule>
  </conditionalFormatting>
  <conditionalFormatting sqref="D25">
    <cfRule type="cellIs" dxfId="26" priority="4" stopIfTrue="1" operator="greaterThan">
      <formula>$D$27*0.1</formula>
    </cfRule>
  </conditionalFormatting>
  <conditionalFormatting sqref="E25">
    <cfRule type="cellIs" dxfId="25" priority="5" stopIfTrue="1" operator="greaterThan">
      <formula>$E$27*0.1</formula>
    </cfRule>
  </conditionalFormatting>
  <conditionalFormatting sqref="C13">
    <cfRule type="cellIs" dxfId="24" priority="6" stopIfTrue="1" operator="greaterThan">
      <formula>$C$15*0.1</formula>
    </cfRule>
  </conditionalFormatting>
  <conditionalFormatting sqref="D13">
    <cfRule type="cellIs" dxfId="23" priority="7" stopIfTrue="1" operator="greaterThan">
      <formula>$D$15*0.1</formula>
    </cfRule>
  </conditionalFormatting>
  <conditionalFormatting sqref="E13">
    <cfRule type="cellIs" dxfId="22" priority="8" stopIfTrue="1" operator="greaterThan">
      <formula>$E$15*0.1</formula>
    </cfRule>
  </conditionalFormatting>
  <conditionalFormatting sqref="C42">
    <cfRule type="cellIs" dxfId="21" priority="9" stopIfTrue="1" operator="greaterThan">
      <formula>$C$44*0.1</formula>
    </cfRule>
  </conditionalFormatting>
  <conditionalFormatting sqref="D42">
    <cfRule type="cellIs" dxfId="20" priority="10" stopIfTrue="1" operator="greaterThan">
      <formula>$D$44*0.1</formula>
    </cfRule>
  </conditionalFormatting>
  <conditionalFormatting sqref="E42">
    <cfRule type="cellIs" dxfId="19" priority="11" stopIfTrue="1" operator="greaterThan">
      <formula>$E$44*0.1</formula>
    </cfRule>
  </conditionalFormatting>
  <conditionalFormatting sqref="C55">
    <cfRule type="cellIs" dxfId="18" priority="12" stopIfTrue="1" operator="greaterThan">
      <formula>$C$57*0.1</formula>
    </cfRule>
  </conditionalFormatting>
  <conditionalFormatting sqref="D55">
    <cfRule type="cellIs" dxfId="17" priority="13" stopIfTrue="1" operator="greaterThan">
      <formula>$D$57*0.1</formula>
    </cfRule>
  </conditionalFormatting>
  <conditionalFormatting sqref="E55">
    <cfRule type="cellIs" dxfId="16" priority="14" stopIfTrue="1" operator="greaterThan">
      <formula>$E$57*0.1</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F0"/>
    <pageSetUpPr fitToPage="1"/>
  </sheetPr>
  <dimension ref="B1:E65"/>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t="str">
        <f>(inputPrYr!C3)</f>
        <v>Doniphan County</v>
      </c>
      <c r="C1" s="26"/>
      <c r="D1" s="26"/>
      <c r="E1" s="125">
        <f>inputPrYr!C5</f>
        <v>2024</v>
      </c>
    </row>
    <row r="2" spans="2:5" x14ac:dyDescent="0.2">
      <c r="B2" s="26"/>
      <c r="C2" s="26"/>
      <c r="D2" s="26"/>
      <c r="E2" s="90"/>
    </row>
    <row r="3" spans="2:5" x14ac:dyDescent="0.2">
      <c r="B3" s="64" t="s">
        <v>173</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7" t="str">
        <f>inputPrYr!B46</f>
        <v>CARES/ARPA</v>
      </c>
      <c r="C6" s="104" t="str">
        <f>General!C5</f>
        <v>Actual for 2022</v>
      </c>
      <c r="D6" s="104" t="str">
        <f>General!D5</f>
        <v>Estimate for 2023</v>
      </c>
      <c r="E6" s="136" t="str">
        <f>General!E5</f>
        <v>Year for 2024</v>
      </c>
    </row>
    <row r="7" spans="2:5" x14ac:dyDescent="0.2">
      <c r="B7" s="60" t="s">
        <v>182</v>
      </c>
      <c r="C7" s="42"/>
      <c r="D7" s="106">
        <f>C28</f>
        <v>0</v>
      </c>
      <c r="E7" s="106">
        <f>D28</f>
        <v>0</v>
      </c>
    </row>
    <row r="8" spans="2:5" x14ac:dyDescent="0.2">
      <c r="B8" s="164" t="s">
        <v>184</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87</v>
      </c>
      <c r="C12" s="42"/>
      <c r="D12" s="42"/>
      <c r="E12" s="42"/>
    </row>
    <row r="13" spans="2:5" x14ac:dyDescent="0.2">
      <c r="B13" s="143" t="s">
        <v>38</v>
      </c>
      <c r="C13" s="42"/>
      <c r="D13" s="138"/>
      <c r="E13" s="138"/>
    </row>
    <row r="14" spans="2:5" x14ac:dyDescent="0.2">
      <c r="B14" s="143" t="s">
        <v>278</v>
      </c>
      <c r="C14" s="243" t="str">
        <f>IF(C15*0.1&lt;C13,"Exceed 10% Rule","")</f>
        <v/>
      </c>
      <c r="D14" s="144" t="str">
        <f>IF(D15*0.1&lt;D13,"Exceed 10% Rule","")</f>
        <v/>
      </c>
      <c r="E14" s="144" t="str">
        <f>IF(E15*0.1&lt;E13,"Exceed 10% Rule","")</f>
        <v/>
      </c>
    </row>
    <row r="15" spans="2:5" x14ac:dyDescent="0.2">
      <c r="B15" s="145" t="s">
        <v>88</v>
      </c>
      <c r="C15" s="457">
        <f>SUM(C9:C13)</f>
        <v>0</v>
      </c>
      <c r="D15" s="457">
        <f>SUM(D9:D13)</f>
        <v>0</v>
      </c>
      <c r="E15" s="457">
        <f>SUM(E9:E13)</f>
        <v>0</v>
      </c>
    </row>
    <row r="16" spans="2:5" x14ac:dyDescent="0.2">
      <c r="B16" s="145" t="s">
        <v>89</v>
      </c>
      <c r="C16" s="457">
        <f>C15+C7</f>
        <v>0</v>
      </c>
      <c r="D16" s="457">
        <f>D15+D7</f>
        <v>0</v>
      </c>
      <c r="E16" s="457">
        <f>E15+E7</f>
        <v>0</v>
      </c>
    </row>
    <row r="17" spans="2:5" x14ac:dyDescent="0.2">
      <c r="B17" s="60" t="s">
        <v>92</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Forward (",E1," column)")</f>
        <v>Cash Forward (2024 column)</v>
      </c>
      <c r="C24" s="42"/>
      <c r="D24" s="42"/>
      <c r="E24" s="42"/>
    </row>
    <row r="25" spans="2:5" x14ac:dyDescent="0.2">
      <c r="B25" s="143" t="s">
        <v>38</v>
      </c>
      <c r="C25" s="42"/>
      <c r="D25" s="138"/>
      <c r="E25" s="138"/>
    </row>
    <row r="26" spans="2:5" x14ac:dyDescent="0.2">
      <c r="B26" s="143" t="s">
        <v>277</v>
      </c>
      <c r="C26" s="243" t="str">
        <f>IF(C27*0.1&lt;C25,"Exceed 10% Rule","")</f>
        <v/>
      </c>
      <c r="D26" s="144" t="str">
        <f>IF(D27*0.1&lt;D25,"Exceed 10% Rule","")</f>
        <v/>
      </c>
      <c r="E26" s="144" t="str">
        <f>IF(E27*0.1&lt;E25,"Exceed 10% Rule","")</f>
        <v/>
      </c>
    </row>
    <row r="27" spans="2:5" x14ac:dyDescent="0.2">
      <c r="B27" s="145" t="s">
        <v>93</v>
      </c>
      <c r="C27" s="457">
        <f>SUM(C18:C25)</f>
        <v>0</v>
      </c>
      <c r="D27" s="457">
        <f>SUM(D18:D25)</f>
        <v>0</v>
      </c>
      <c r="E27" s="457">
        <f>SUM(E18:E25)</f>
        <v>0</v>
      </c>
    </row>
    <row r="28" spans="2:5" x14ac:dyDescent="0.2">
      <c r="B28" s="60" t="s">
        <v>183</v>
      </c>
      <c r="C28" s="106">
        <f>C16-C27</f>
        <v>0</v>
      </c>
      <c r="D28" s="106">
        <f>D16-D27</f>
        <v>0</v>
      </c>
      <c r="E28" s="106">
        <f>E16-E27</f>
        <v>0</v>
      </c>
    </row>
    <row r="29" spans="2:5" x14ac:dyDescent="0.2">
      <c r="B29" s="135" t="str">
        <f>CONCATENATE("",E1-2,"/",E1-1,"/",E1," Budget Authority Amount:")</f>
        <v>2022/2023/2024 Budget Authority Amount:</v>
      </c>
      <c r="C29" s="167">
        <f>inputOth!B74</f>
        <v>1484264</v>
      </c>
      <c r="D29" s="167">
        <f>inputPrYr!D46</f>
        <v>1476211</v>
      </c>
      <c r="E29" s="338">
        <f>E27</f>
        <v>0</v>
      </c>
    </row>
    <row r="30" spans="2:5" x14ac:dyDescent="0.2">
      <c r="B30" s="125"/>
      <c r="C30" s="152" t="str">
        <f>IF(C27&gt;C29,"See Tab A","")</f>
        <v/>
      </c>
      <c r="D30" s="152" t="str">
        <f>IF(D27&gt;D29,"See Tab C","")</f>
        <v/>
      </c>
      <c r="E30" s="339"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6">
        <f>inputPrYr!B51</f>
        <v>0</v>
      </c>
      <c r="C35" s="104" t="str">
        <f t="shared" si="0"/>
        <v>Actual for 2022</v>
      </c>
      <c r="D35" s="104" t="str">
        <f t="shared" si="0"/>
        <v>Estimate for 2023</v>
      </c>
      <c r="E35" s="136" t="str">
        <f t="shared" si="0"/>
        <v>Year for 2024</v>
      </c>
    </row>
    <row r="36" spans="2:5" x14ac:dyDescent="0.2">
      <c r="B36" s="60" t="s">
        <v>182</v>
      </c>
      <c r="C36" s="42"/>
      <c r="D36" s="106">
        <f>C58</f>
        <v>0</v>
      </c>
      <c r="E36" s="106">
        <f>D58</f>
        <v>0</v>
      </c>
    </row>
    <row r="37" spans="2:5" x14ac:dyDescent="0.2">
      <c r="B37" s="60" t="s">
        <v>184</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87</v>
      </c>
      <c r="C41" s="42"/>
      <c r="D41" s="42"/>
      <c r="E41" s="42"/>
    </row>
    <row r="42" spans="2:5" x14ac:dyDescent="0.2">
      <c r="B42" s="143" t="s">
        <v>38</v>
      </c>
      <c r="C42" s="42"/>
      <c r="D42" s="138"/>
      <c r="E42" s="138"/>
    </row>
    <row r="43" spans="2:5" x14ac:dyDescent="0.2">
      <c r="B43" s="143" t="s">
        <v>278</v>
      </c>
      <c r="C43" s="243" t="str">
        <f>IF(C44*0.1&lt;C42,"Exceed 10% Rule","")</f>
        <v/>
      </c>
      <c r="D43" s="144" t="str">
        <f>IF(D44*0.1&lt;D42,"Exceed 10% Rule","")</f>
        <v/>
      </c>
      <c r="E43" s="144" t="str">
        <f>IF(E44*0.1&lt;E42,"Exceed 10% Rule","")</f>
        <v/>
      </c>
    </row>
    <row r="44" spans="2:5" x14ac:dyDescent="0.2">
      <c r="B44" s="145" t="s">
        <v>88</v>
      </c>
      <c r="C44" s="457">
        <f>SUM(C38:C42)</f>
        <v>0</v>
      </c>
      <c r="D44" s="457">
        <f>SUM(D38:D42)</f>
        <v>0</v>
      </c>
      <c r="E44" s="457">
        <f>SUM(E38:E42)</f>
        <v>0</v>
      </c>
    </row>
    <row r="45" spans="2:5" x14ac:dyDescent="0.2">
      <c r="B45" s="145" t="s">
        <v>89</v>
      </c>
      <c r="C45" s="457">
        <f>C36+C44</f>
        <v>0</v>
      </c>
      <c r="D45" s="457">
        <f>D36+D44</f>
        <v>0</v>
      </c>
      <c r="E45" s="457">
        <f>E36+E44</f>
        <v>0</v>
      </c>
    </row>
    <row r="46" spans="2:5" x14ac:dyDescent="0.2">
      <c r="B46" s="60" t="s">
        <v>92</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Forward (",E1," column)")</f>
        <v>Cash Forward (2024 column)</v>
      </c>
      <c r="C54" s="42"/>
      <c r="D54" s="42"/>
      <c r="E54" s="42"/>
    </row>
    <row r="55" spans="2:5" x14ac:dyDescent="0.2">
      <c r="B55" s="143" t="s">
        <v>38</v>
      </c>
      <c r="C55" s="42"/>
      <c r="D55" s="138"/>
      <c r="E55" s="138"/>
    </row>
    <row r="56" spans="2:5" x14ac:dyDescent="0.2">
      <c r="B56" s="143" t="s">
        <v>277</v>
      </c>
      <c r="C56" s="243" t="str">
        <f>IF(C57*0.1&lt;C55,"Exceed 10% Rule","")</f>
        <v/>
      </c>
      <c r="D56" s="144" t="str">
        <f>IF(D57*0.1&lt;D55,"Exceed 10% Rule","")</f>
        <v/>
      </c>
      <c r="E56" s="144" t="str">
        <f>IF(E57*0.1&lt;E55,"Exceed 10% Rule","")</f>
        <v/>
      </c>
    </row>
    <row r="57" spans="2:5" x14ac:dyDescent="0.2">
      <c r="B57" s="145" t="s">
        <v>93</v>
      </c>
      <c r="C57" s="457">
        <f>SUM(C47:C55)</f>
        <v>0</v>
      </c>
      <c r="D57" s="457">
        <f>SUM(D47:D55)</f>
        <v>0</v>
      </c>
      <c r="E57" s="457">
        <f>SUM(E47:E55)</f>
        <v>0</v>
      </c>
    </row>
    <row r="58" spans="2:5" x14ac:dyDescent="0.2">
      <c r="B58" s="60" t="s">
        <v>183</v>
      </c>
      <c r="C58" s="106">
        <f>C45-C57</f>
        <v>0</v>
      </c>
      <c r="D58" s="106">
        <f>D45-D57</f>
        <v>0</v>
      </c>
      <c r="E58" s="106">
        <f>E45-E57</f>
        <v>0</v>
      </c>
    </row>
    <row r="59" spans="2:5" x14ac:dyDescent="0.2">
      <c r="B59" s="135" t="str">
        <f>CONCATENATE("",E1-2,"/",E1-1,"/",E1," Budget Authority Amount:")</f>
        <v>2022/2023/2024 Budget Authority Amount:</v>
      </c>
      <c r="C59" s="167">
        <f>inputOth!B75</f>
        <v>15000</v>
      </c>
      <c r="D59" s="167">
        <f>inputPrYr!D51</f>
        <v>0</v>
      </c>
      <c r="E59" s="338">
        <f>E57</f>
        <v>0</v>
      </c>
    </row>
    <row r="60" spans="2:5" x14ac:dyDescent="0.2">
      <c r="B60" s="125"/>
      <c r="C60" s="152" t="str">
        <f>IF(C57&gt;C59,"See Tab A","")</f>
        <v/>
      </c>
      <c r="D60" s="152" t="str">
        <f>IF(D57&gt;D59,"See Tab C","")</f>
        <v/>
      </c>
      <c r="E60" s="340" t="str">
        <f>IF(E58&lt;0,"See Tab E","")</f>
        <v/>
      </c>
    </row>
    <row r="61" spans="2:5" x14ac:dyDescent="0.2">
      <c r="B61" s="419" t="s">
        <v>341</v>
      </c>
      <c r="C61" s="340"/>
      <c r="D61" s="340"/>
      <c r="E61" s="409"/>
    </row>
    <row r="62" spans="2:5" x14ac:dyDescent="0.2">
      <c r="B62" s="410"/>
      <c r="C62" s="152"/>
      <c r="D62" s="152"/>
      <c r="E62" s="411"/>
    </row>
    <row r="63" spans="2:5" x14ac:dyDescent="0.2">
      <c r="B63" s="412"/>
      <c r="C63" s="413" t="str">
        <f>IF(C58&lt;0,"See Tab B","")</f>
        <v/>
      </c>
      <c r="D63" s="413" t="str">
        <f>IF(D58&lt;0,"See Tab D","")</f>
        <v/>
      </c>
      <c r="E63" s="47"/>
    </row>
    <row r="64" spans="2:5" x14ac:dyDescent="0.2">
      <c r="B64" s="26"/>
      <c r="C64" s="26"/>
      <c r="D64" s="26"/>
      <c r="E64" s="26"/>
    </row>
    <row r="65" spans="2:5" x14ac:dyDescent="0.2">
      <c r="B65" s="125" t="s">
        <v>133</v>
      </c>
      <c r="C65" s="362"/>
      <c r="D65" s="26"/>
      <c r="E65" s="26"/>
    </row>
  </sheetData>
  <sheetProtection sheet="1" objects="1" scenarios="1"/>
  <phoneticPr fontId="7" type="noConversion"/>
  <conditionalFormatting sqref="C25">
    <cfRule type="cellIs" dxfId="15" priority="4" stopIfTrue="1" operator="greaterThan">
      <formula>$C$27*0.1</formula>
    </cfRule>
  </conditionalFormatting>
  <conditionalFormatting sqref="D25">
    <cfRule type="cellIs" dxfId="14" priority="5" stopIfTrue="1" operator="greaterThan">
      <formula>$D$27*0.1</formula>
    </cfRule>
  </conditionalFormatting>
  <conditionalFormatting sqref="E25">
    <cfRule type="cellIs" dxfId="13" priority="6" stopIfTrue="1" operator="greaterThan">
      <formula>$E$27*0.1</formula>
    </cfRule>
  </conditionalFormatting>
  <conditionalFormatting sqref="C13">
    <cfRule type="cellIs" dxfId="12" priority="7" stopIfTrue="1" operator="greaterThan">
      <formula>$C$15*0.1</formula>
    </cfRule>
  </conditionalFormatting>
  <conditionalFormatting sqref="D13">
    <cfRule type="cellIs" dxfId="11" priority="8" stopIfTrue="1" operator="greaterThan">
      <formula>$D$15*0.1</formula>
    </cfRule>
  </conditionalFormatting>
  <conditionalFormatting sqref="E13">
    <cfRule type="cellIs" dxfId="10" priority="9" stopIfTrue="1" operator="greaterThan">
      <formula>$E$15*0.1</formula>
    </cfRule>
  </conditionalFormatting>
  <conditionalFormatting sqref="C42">
    <cfRule type="cellIs" dxfId="9" priority="10" stopIfTrue="1" operator="greaterThan">
      <formula>$C$44*0.1</formula>
    </cfRule>
  </conditionalFormatting>
  <conditionalFormatting sqref="D42">
    <cfRule type="cellIs" dxfId="8" priority="11" stopIfTrue="1" operator="greaterThan">
      <formula>$D$44*0.1</formula>
    </cfRule>
  </conditionalFormatting>
  <conditionalFormatting sqref="E42">
    <cfRule type="cellIs" dxfId="7" priority="12" stopIfTrue="1" operator="greaterThan">
      <formula>$E$44*0.1</formula>
    </cfRule>
  </conditionalFormatting>
  <conditionalFormatting sqref="C55">
    <cfRule type="cellIs" dxfId="6" priority="13" stopIfTrue="1" operator="greaterThan">
      <formula>$C$57*0.1</formula>
    </cfRule>
  </conditionalFormatting>
  <conditionalFormatting sqref="D55">
    <cfRule type="cellIs" dxfId="5" priority="14" stopIfTrue="1" operator="greaterThan">
      <formula>$D$57*0.1</formula>
    </cfRule>
  </conditionalFormatting>
  <conditionalFormatting sqref="E55">
    <cfRule type="cellIs" dxfId="4" priority="15" stopIfTrue="1" operator="greaterThan">
      <formula>$E$57*0.1</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t="str">
        <f>inputPrYr!$C$3</f>
        <v>Doniphan County</v>
      </c>
      <c r="B1" s="31"/>
      <c r="C1" s="26"/>
      <c r="D1" s="26"/>
      <c r="E1" s="26"/>
      <c r="F1" s="89" t="s">
        <v>11</v>
      </c>
      <c r="G1" s="26"/>
      <c r="H1" s="26"/>
      <c r="I1" s="26"/>
      <c r="J1" s="26"/>
      <c r="K1" s="26">
        <f>inputPrYr!$C$5</f>
        <v>2024</v>
      </c>
    </row>
    <row r="2" spans="1:11" x14ac:dyDescent="0.2">
      <c r="A2" s="26"/>
      <c r="B2" s="26"/>
      <c r="C2" s="26"/>
      <c r="D2" s="26"/>
      <c r="E2" s="26"/>
      <c r="F2" s="176" t="str">
        <f>CONCATENATE("(Only the actual budget year for ",K1-2," is reported)")</f>
        <v>(Only the actual budget year for 2022 is reported)</v>
      </c>
      <c r="G2" s="26"/>
      <c r="H2" s="26"/>
      <c r="I2" s="26"/>
      <c r="J2" s="26"/>
      <c r="K2" s="26"/>
    </row>
    <row r="3" spans="1:11" x14ac:dyDescent="0.2">
      <c r="A3" s="26" t="s">
        <v>12</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62" t="str">
        <f>IF(inputPrYr!B55&gt;" ",(inputPrYr!B55)," ")</f>
        <v xml:space="preserve"> </v>
      </c>
      <c r="B5" s="663"/>
      <c r="C5" s="662" t="str">
        <f>IF(inputPrYr!B56&gt;" ",(inputPrYr!B56)," ")</f>
        <v xml:space="preserve"> </v>
      </c>
      <c r="D5" s="663"/>
      <c r="E5" s="662" t="str">
        <f>IF(inputPrYr!B57&gt;" ",(inputPrYr!B57)," ")</f>
        <v xml:space="preserve"> </v>
      </c>
      <c r="F5" s="663"/>
      <c r="G5" s="662" t="str">
        <f>IF(inputPrYr!B58&gt;" ",(inputPrYr!B58)," ")</f>
        <v xml:space="preserve"> </v>
      </c>
      <c r="H5" s="663"/>
      <c r="I5" s="662" t="str">
        <f>IF(inputPrYr!B59&gt;" ",(inputPrYr!B59)," ")</f>
        <v xml:space="preserve"> </v>
      </c>
      <c r="J5" s="663"/>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184</v>
      </c>
      <c r="B8" s="187"/>
      <c r="C8" s="186" t="s">
        <v>184</v>
      </c>
      <c r="D8" s="188"/>
      <c r="E8" s="186" t="s">
        <v>184</v>
      </c>
      <c r="F8" s="31"/>
      <c r="G8" s="186" t="s">
        <v>184</v>
      </c>
      <c r="H8" s="26"/>
      <c r="I8" s="186" t="s">
        <v>184</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88</v>
      </c>
      <c r="B17" s="195">
        <f>SUM(B9:B16)</f>
        <v>0</v>
      </c>
      <c r="C17" s="186" t="s">
        <v>88</v>
      </c>
      <c r="D17" s="185">
        <f>SUM(D9:D16)</f>
        <v>0</v>
      </c>
      <c r="E17" s="186" t="s">
        <v>88</v>
      </c>
      <c r="F17" s="225">
        <f>SUM(F9:F16)</f>
        <v>0</v>
      </c>
      <c r="G17" s="186" t="s">
        <v>88</v>
      </c>
      <c r="H17" s="185">
        <f>SUM(H9:H16)</f>
        <v>0</v>
      </c>
      <c r="I17" s="186" t="s">
        <v>88</v>
      </c>
      <c r="J17" s="185">
        <f>SUM(J9:J16)</f>
        <v>0</v>
      </c>
      <c r="K17" s="185">
        <f>SUM(B17+D17+F17+H17+J17)</f>
        <v>0</v>
      </c>
    </row>
    <row r="18" spans="1:12" x14ac:dyDescent="0.2">
      <c r="A18" s="186" t="s">
        <v>89</v>
      </c>
      <c r="B18" s="195">
        <f>SUM(B7+B17)</f>
        <v>0</v>
      </c>
      <c r="C18" s="186" t="s">
        <v>89</v>
      </c>
      <c r="D18" s="185">
        <f>SUM(D7+D17)</f>
        <v>0</v>
      </c>
      <c r="E18" s="186" t="s">
        <v>89</v>
      </c>
      <c r="F18" s="185">
        <f>SUM(F7+F17)</f>
        <v>0</v>
      </c>
      <c r="G18" s="186" t="s">
        <v>89</v>
      </c>
      <c r="H18" s="185">
        <f>SUM(H7+H17)</f>
        <v>0</v>
      </c>
      <c r="I18" s="186" t="s">
        <v>89</v>
      </c>
      <c r="J18" s="185">
        <f>SUM(J7+J17)</f>
        <v>0</v>
      </c>
      <c r="K18" s="185">
        <f>SUM(B18+D18+F18+H18+J18)</f>
        <v>0</v>
      </c>
    </row>
    <row r="19" spans="1:12" x14ac:dyDescent="0.2">
      <c r="A19" s="186" t="s">
        <v>92</v>
      </c>
      <c r="B19" s="187"/>
      <c r="C19" s="186" t="s">
        <v>92</v>
      </c>
      <c r="D19" s="188"/>
      <c r="E19" s="186" t="s">
        <v>92</v>
      </c>
      <c r="F19" s="31"/>
      <c r="G19" s="186" t="s">
        <v>92</v>
      </c>
      <c r="H19" s="26"/>
      <c r="I19" s="186" t="s">
        <v>92</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93</v>
      </c>
      <c r="B28" s="185">
        <f>SUM(B20:B27)</f>
        <v>0</v>
      </c>
      <c r="C28" s="186" t="s">
        <v>93</v>
      </c>
      <c r="D28" s="185">
        <f>SUM(D20:D27)</f>
        <v>0</v>
      </c>
      <c r="E28" s="186" t="s">
        <v>93</v>
      </c>
      <c r="F28" s="225">
        <f>SUM(F20:F27)</f>
        <v>0</v>
      </c>
      <c r="G28" s="186" t="s">
        <v>93</v>
      </c>
      <c r="H28" s="225">
        <f>SUM(H20:H27)</f>
        <v>0</v>
      </c>
      <c r="I28" s="186" t="s">
        <v>93</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6">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1" t="s">
        <v>32</v>
      </c>
      <c r="I31" s="661"/>
      <c r="J31" s="661"/>
      <c r="K31" s="661"/>
    </row>
    <row r="32" spans="1:12" x14ac:dyDescent="0.2">
      <c r="A32" s="26"/>
      <c r="B32" s="49"/>
      <c r="C32" s="26"/>
      <c r="D32" s="26"/>
      <c r="E32" s="26"/>
      <c r="F32" s="26"/>
      <c r="G32" s="26"/>
      <c r="H32" s="26"/>
      <c r="I32" s="26"/>
      <c r="J32" s="26"/>
      <c r="K32" s="26"/>
    </row>
    <row r="33" spans="1:11" x14ac:dyDescent="0.2">
      <c r="A33" s="417" t="s">
        <v>341</v>
      </c>
      <c r="B33" s="414"/>
      <c r="C33" s="388"/>
      <c r="D33" s="388"/>
      <c r="E33" s="388"/>
      <c r="F33" s="388"/>
      <c r="G33" s="388"/>
      <c r="H33" s="388"/>
      <c r="I33" s="388"/>
      <c r="J33" s="388"/>
      <c r="K33" s="391"/>
    </row>
    <row r="34" spans="1:11" x14ac:dyDescent="0.2">
      <c r="A34" s="126"/>
      <c r="B34" s="49"/>
      <c r="C34" s="26"/>
      <c r="D34" s="26"/>
      <c r="E34" s="26"/>
      <c r="F34" s="26"/>
      <c r="G34" s="26"/>
      <c r="H34" s="26"/>
      <c r="I34" s="26"/>
      <c r="J34" s="26"/>
      <c r="K34" s="306"/>
    </row>
    <row r="35" spans="1:11" x14ac:dyDescent="0.2">
      <c r="A35" s="397"/>
      <c r="B35" s="415"/>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133</v>
      </c>
      <c r="F37" s="362"/>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t="str">
        <f>inputPrYr!$C$3</f>
        <v>Doniphan County</v>
      </c>
      <c r="B1" s="31"/>
      <c r="C1" s="26"/>
      <c r="D1" s="26"/>
      <c r="E1" s="26"/>
      <c r="F1" s="89" t="s">
        <v>20</v>
      </c>
      <c r="G1" s="26"/>
      <c r="H1" s="26"/>
      <c r="I1" s="26"/>
      <c r="J1" s="26"/>
      <c r="K1" s="26">
        <f>inputPrYr!$C$5</f>
        <v>2024</v>
      </c>
    </row>
    <row r="2" spans="1:11" x14ac:dyDescent="0.2">
      <c r="A2" s="26"/>
      <c r="B2" s="26"/>
      <c r="C2" s="26"/>
      <c r="D2" s="26"/>
      <c r="E2" s="26"/>
      <c r="F2" s="176" t="str">
        <f>CONCATENATE("(Only the actual budget year for ",K1-2," is reported)")</f>
        <v>(Only the actual budget year for 2022 is reported)</v>
      </c>
      <c r="G2" s="26"/>
      <c r="H2" s="26"/>
      <c r="I2" s="26"/>
      <c r="J2" s="26"/>
      <c r="K2" s="26"/>
    </row>
    <row r="3" spans="1:11" x14ac:dyDescent="0.2">
      <c r="A3" s="26" t="s">
        <v>21</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62" t="str">
        <f>IF(inputPrYr!B61&gt;" ",(inputPrYr!B61)," ")</f>
        <v xml:space="preserve"> </v>
      </c>
      <c r="B5" s="663"/>
      <c r="C5" s="662" t="str">
        <f>IF(inputPrYr!B62&gt;" ",(inputPrYr!B62)," ")</f>
        <v xml:space="preserve"> </v>
      </c>
      <c r="D5" s="663"/>
      <c r="E5" s="662" t="str">
        <f>IF(inputPrYr!B63&gt;" ",(inputPrYr!B63)," ")</f>
        <v xml:space="preserve"> </v>
      </c>
      <c r="F5" s="663"/>
      <c r="G5" s="662" t="str">
        <f>IF(inputPrYr!B64&gt;" ",(inputPrYr!B64)," ")</f>
        <v xml:space="preserve"> </v>
      </c>
      <c r="H5" s="663"/>
      <c r="I5" s="662" t="str">
        <f>IF(inputPrYr!B65&gt;" ",(inputPrYr!B65)," ")</f>
        <v xml:space="preserve"> </v>
      </c>
      <c r="J5" s="663"/>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184</v>
      </c>
      <c r="B8" s="187"/>
      <c r="C8" s="186" t="s">
        <v>184</v>
      </c>
      <c r="D8" s="188"/>
      <c r="E8" s="186" t="s">
        <v>184</v>
      </c>
      <c r="F8" s="31"/>
      <c r="G8" s="186" t="s">
        <v>184</v>
      </c>
      <c r="H8" s="26"/>
      <c r="I8" s="186" t="s">
        <v>184</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88</v>
      </c>
      <c r="B17" s="185">
        <f>SUM(B9:B16)</f>
        <v>0</v>
      </c>
      <c r="C17" s="186" t="s">
        <v>88</v>
      </c>
      <c r="D17" s="185">
        <f>SUM(D9:D16)</f>
        <v>0</v>
      </c>
      <c r="E17" s="186" t="s">
        <v>88</v>
      </c>
      <c r="F17" s="225">
        <f>SUM(F9:F16)</f>
        <v>0</v>
      </c>
      <c r="G17" s="186" t="s">
        <v>88</v>
      </c>
      <c r="H17" s="185">
        <f>SUM(H9:H16)</f>
        <v>0</v>
      </c>
      <c r="I17" s="186" t="s">
        <v>88</v>
      </c>
      <c r="J17" s="185">
        <f>SUM(J9:J16)</f>
        <v>0</v>
      </c>
      <c r="K17" s="185">
        <f>SUM(B17+D17+F17+H17+J17)</f>
        <v>0</v>
      </c>
    </row>
    <row r="18" spans="1:12" x14ac:dyDescent="0.2">
      <c r="A18" s="186" t="s">
        <v>89</v>
      </c>
      <c r="B18" s="185">
        <f>SUM(B7+B17)</f>
        <v>0</v>
      </c>
      <c r="C18" s="186" t="s">
        <v>89</v>
      </c>
      <c r="D18" s="185">
        <f>SUM(D7+D17)</f>
        <v>0</v>
      </c>
      <c r="E18" s="186" t="s">
        <v>89</v>
      </c>
      <c r="F18" s="185">
        <f>SUM(F7+F17)</f>
        <v>0</v>
      </c>
      <c r="G18" s="186" t="s">
        <v>89</v>
      </c>
      <c r="H18" s="185">
        <f>SUM(H7+H17)</f>
        <v>0</v>
      </c>
      <c r="I18" s="186" t="s">
        <v>89</v>
      </c>
      <c r="J18" s="185">
        <f>SUM(J7+J17)</f>
        <v>0</v>
      </c>
      <c r="K18" s="185">
        <f>SUM(B18+D18+F18+H18+J18)</f>
        <v>0</v>
      </c>
    </row>
    <row r="19" spans="1:12" x14ac:dyDescent="0.2">
      <c r="A19" s="186" t="s">
        <v>92</v>
      </c>
      <c r="B19" s="187"/>
      <c r="C19" s="186" t="s">
        <v>92</v>
      </c>
      <c r="D19" s="188"/>
      <c r="E19" s="186" t="s">
        <v>92</v>
      </c>
      <c r="F19" s="31"/>
      <c r="G19" s="186" t="s">
        <v>92</v>
      </c>
      <c r="H19" s="26"/>
      <c r="I19" s="186" t="s">
        <v>92</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93</v>
      </c>
      <c r="B28" s="185">
        <f>SUM(B20:B27)</f>
        <v>0</v>
      </c>
      <c r="C28" s="186" t="s">
        <v>93</v>
      </c>
      <c r="D28" s="185">
        <f>SUM(D20:D27)</f>
        <v>0</v>
      </c>
      <c r="E28" s="186" t="s">
        <v>93</v>
      </c>
      <c r="F28" s="225">
        <f>SUM(F20:F27)</f>
        <v>0</v>
      </c>
      <c r="G28" s="186" t="s">
        <v>93</v>
      </c>
      <c r="H28" s="225">
        <f>SUM(H20:H27)</f>
        <v>0</v>
      </c>
      <c r="I28" s="186" t="s">
        <v>93</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6">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1" t="s">
        <v>32</v>
      </c>
      <c r="I31" s="661"/>
      <c r="J31" s="661"/>
      <c r="K31" s="661"/>
    </row>
    <row r="32" spans="1:12" x14ac:dyDescent="0.2">
      <c r="A32" s="26"/>
      <c r="B32" s="49"/>
      <c r="C32" s="26"/>
      <c r="D32" s="26"/>
      <c r="E32" s="26"/>
      <c r="F32" s="26"/>
      <c r="G32" s="26"/>
      <c r="H32" s="26"/>
      <c r="I32" s="26"/>
      <c r="J32" s="26"/>
      <c r="K32" s="26"/>
    </row>
    <row r="33" spans="1:11" x14ac:dyDescent="0.2">
      <c r="A33" s="417" t="s">
        <v>341</v>
      </c>
      <c r="B33" s="414"/>
      <c r="C33" s="388"/>
      <c r="D33" s="388"/>
      <c r="E33" s="388"/>
      <c r="F33" s="388"/>
      <c r="G33" s="388"/>
      <c r="H33" s="388"/>
      <c r="I33" s="388"/>
      <c r="J33" s="388"/>
      <c r="K33" s="391"/>
    </row>
    <row r="34" spans="1:11" x14ac:dyDescent="0.2">
      <c r="A34" s="126"/>
      <c r="B34" s="49"/>
      <c r="C34" s="26"/>
      <c r="D34" s="26"/>
      <c r="E34" s="26"/>
      <c r="F34" s="26"/>
      <c r="G34" s="26"/>
      <c r="H34" s="26"/>
      <c r="I34" s="26"/>
      <c r="J34" s="26"/>
      <c r="K34" s="306"/>
    </row>
    <row r="35" spans="1:11" x14ac:dyDescent="0.2">
      <c r="A35" s="397"/>
      <c r="B35" s="415"/>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133</v>
      </c>
      <c r="F37" s="362"/>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t="str">
        <f>inputPrYr!$C$3</f>
        <v>Doniphan County</v>
      </c>
      <c r="B1" s="31"/>
      <c r="C1" s="26"/>
      <c r="D1" s="26"/>
      <c r="E1" s="26"/>
      <c r="F1" s="89" t="s">
        <v>22</v>
      </c>
      <c r="G1" s="26"/>
      <c r="H1" s="26"/>
      <c r="I1" s="26"/>
      <c r="J1" s="26"/>
      <c r="K1" s="26">
        <f>inputPrYr!$C$5</f>
        <v>2024</v>
      </c>
    </row>
    <row r="2" spans="1:11" x14ac:dyDescent="0.2">
      <c r="A2" s="26"/>
      <c r="B2" s="26"/>
      <c r="C2" s="26"/>
      <c r="D2" s="26"/>
      <c r="E2" s="26"/>
      <c r="F2" s="176" t="str">
        <f>CONCATENATE("(Only the actual budget year for ",K1-2," is reported)")</f>
        <v>(Only the actual budget year for 2022 is reported)</v>
      </c>
      <c r="G2" s="26"/>
      <c r="H2" s="26"/>
      <c r="I2" s="26"/>
      <c r="J2" s="26"/>
      <c r="K2" s="26"/>
    </row>
    <row r="3" spans="1:11" x14ac:dyDescent="0.2">
      <c r="A3" s="26" t="s">
        <v>23</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62" t="str">
        <f>IF(inputPrYr!B67&gt;" ",(inputPrYr!B67)," ")</f>
        <v xml:space="preserve"> </v>
      </c>
      <c r="B5" s="663"/>
      <c r="C5" s="662" t="str">
        <f>IF(inputPrYr!B68&gt;" ",(inputPrYr!B68)," ")</f>
        <v xml:space="preserve"> </v>
      </c>
      <c r="D5" s="663"/>
      <c r="E5" s="662" t="str">
        <f>IF(inputPrYr!B69&gt;" ",(inputPrYr!B69)," ")</f>
        <v xml:space="preserve"> </v>
      </c>
      <c r="F5" s="663"/>
      <c r="G5" s="662" t="str">
        <f>IF(inputPrYr!B70&gt;" ",(inputPrYr!B70)," ")</f>
        <v xml:space="preserve"> </v>
      </c>
      <c r="H5" s="663"/>
      <c r="I5" s="662" t="str">
        <f>IF(inputPrYr!B71&gt;" ",(inputPrYr!B71)," ")</f>
        <v xml:space="preserve"> </v>
      </c>
      <c r="J5" s="663"/>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184</v>
      </c>
      <c r="B8" s="187"/>
      <c r="C8" s="186" t="s">
        <v>184</v>
      </c>
      <c r="D8" s="188"/>
      <c r="E8" s="186" t="s">
        <v>184</v>
      </c>
      <c r="F8" s="31"/>
      <c r="G8" s="186" t="s">
        <v>184</v>
      </c>
      <c r="H8" s="26"/>
      <c r="I8" s="186" t="s">
        <v>184</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88</v>
      </c>
      <c r="B17" s="185">
        <f>SUM(B9:B16)</f>
        <v>0</v>
      </c>
      <c r="C17" s="186" t="s">
        <v>88</v>
      </c>
      <c r="D17" s="185">
        <f>SUM(D9:D16)</f>
        <v>0</v>
      </c>
      <c r="E17" s="186" t="s">
        <v>88</v>
      </c>
      <c r="F17" s="225">
        <f>SUM(F9:F16)</f>
        <v>0</v>
      </c>
      <c r="G17" s="186" t="s">
        <v>88</v>
      </c>
      <c r="H17" s="185">
        <f>SUM(H9:H16)</f>
        <v>0</v>
      </c>
      <c r="I17" s="186" t="s">
        <v>88</v>
      </c>
      <c r="J17" s="185">
        <f>SUM(J9:J16)</f>
        <v>0</v>
      </c>
      <c r="K17" s="185">
        <f>SUM(B17+D17+F17+H17+J17)</f>
        <v>0</v>
      </c>
    </row>
    <row r="18" spans="1:12" x14ac:dyDescent="0.2">
      <c r="A18" s="186" t="s">
        <v>89</v>
      </c>
      <c r="B18" s="185">
        <f>SUM(B7+B17)</f>
        <v>0</v>
      </c>
      <c r="C18" s="186" t="s">
        <v>89</v>
      </c>
      <c r="D18" s="185">
        <f>SUM(D7+D17)</f>
        <v>0</v>
      </c>
      <c r="E18" s="186" t="s">
        <v>89</v>
      </c>
      <c r="F18" s="185">
        <f>SUM(F7+F17)</f>
        <v>0</v>
      </c>
      <c r="G18" s="186" t="s">
        <v>89</v>
      </c>
      <c r="H18" s="185">
        <f>SUM(H7+H17)</f>
        <v>0</v>
      </c>
      <c r="I18" s="186" t="s">
        <v>89</v>
      </c>
      <c r="J18" s="185">
        <f>SUM(J7+J17)</f>
        <v>0</v>
      </c>
      <c r="K18" s="185">
        <f>SUM(B18+D18+F18+H18+J18)</f>
        <v>0</v>
      </c>
    </row>
    <row r="19" spans="1:12" x14ac:dyDescent="0.2">
      <c r="A19" s="186" t="s">
        <v>92</v>
      </c>
      <c r="B19" s="187"/>
      <c r="C19" s="186" t="s">
        <v>92</v>
      </c>
      <c r="D19" s="188"/>
      <c r="E19" s="186" t="s">
        <v>92</v>
      </c>
      <c r="F19" s="31"/>
      <c r="G19" s="186" t="s">
        <v>92</v>
      </c>
      <c r="H19" s="26"/>
      <c r="I19" s="186" t="s">
        <v>92</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93</v>
      </c>
      <c r="B28" s="185">
        <f>SUM(B20:B27)</f>
        <v>0</v>
      </c>
      <c r="C28" s="186" t="s">
        <v>93</v>
      </c>
      <c r="D28" s="185">
        <f>SUM(D20:D27)</f>
        <v>0</v>
      </c>
      <c r="E28" s="186" t="s">
        <v>93</v>
      </c>
      <c r="F28" s="225">
        <f>SUM(F20:F27)</f>
        <v>0</v>
      </c>
      <c r="G28" s="186" t="s">
        <v>93</v>
      </c>
      <c r="H28" s="225">
        <f>SUM(H20:H27)</f>
        <v>0</v>
      </c>
      <c r="I28" s="186" t="s">
        <v>93</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6">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1" t="s">
        <v>32</v>
      </c>
      <c r="I31" s="661"/>
      <c r="J31" s="661"/>
      <c r="K31" s="661"/>
    </row>
    <row r="32" spans="1:12" x14ac:dyDescent="0.2">
      <c r="A32" s="26"/>
      <c r="B32" s="49"/>
      <c r="C32" s="26"/>
      <c r="D32" s="26"/>
      <c r="E32" s="26"/>
      <c r="F32" s="26"/>
      <c r="G32" s="26"/>
      <c r="H32" s="26"/>
      <c r="I32" s="26"/>
      <c r="J32" s="26"/>
      <c r="K32" s="26"/>
    </row>
    <row r="33" spans="1:11" x14ac:dyDescent="0.2">
      <c r="A33" s="417" t="s">
        <v>341</v>
      </c>
      <c r="B33" s="414"/>
      <c r="C33" s="388"/>
      <c r="D33" s="388"/>
      <c r="E33" s="388"/>
      <c r="F33" s="388"/>
      <c r="G33" s="388"/>
      <c r="H33" s="388"/>
      <c r="I33" s="388"/>
      <c r="J33" s="388"/>
      <c r="K33" s="391"/>
    </row>
    <row r="34" spans="1:11" x14ac:dyDescent="0.2">
      <c r="A34" s="126"/>
      <c r="B34" s="49"/>
      <c r="C34" s="26"/>
      <c r="D34" s="26"/>
      <c r="E34" s="26"/>
      <c r="F34" s="26"/>
      <c r="G34" s="26"/>
      <c r="H34" s="26"/>
      <c r="I34" s="26"/>
      <c r="J34" s="26"/>
      <c r="K34" s="306"/>
    </row>
    <row r="35" spans="1:11" x14ac:dyDescent="0.2">
      <c r="A35" s="397"/>
      <c r="B35" s="415"/>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133</v>
      </c>
      <c r="F37" s="362"/>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49"/>
  <sheetViews>
    <sheetView zoomScale="80" zoomScaleNormal="80" workbookViewId="0">
      <selection activeCell="B33" sqref="B33"/>
    </sheetView>
  </sheetViews>
  <sheetFormatPr defaultRowHeight="15.75" x14ac:dyDescent="0.25"/>
  <cols>
    <col min="1" max="1" width="17.21875" style="439" customWidth="1"/>
    <col min="2" max="2" width="16.109375" style="439" customWidth="1"/>
    <col min="3" max="7" width="8.88671875" style="439"/>
    <col min="8" max="8" width="12.6640625" style="440" customWidth="1"/>
    <col min="9" max="9" width="12.44140625" style="440" customWidth="1"/>
    <col min="10" max="11" width="8.88671875" style="440"/>
    <col min="12" max="16384" width="8.88671875" style="439"/>
  </cols>
  <sheetData>
    <row r="1" spans="1:11" x14ac:dyDescent="0.25">
      <c r="A1" s="572" t="s">
        <v>419</v>
      </c>
      <c r="B1" s="572"/>
      <c r="C1" s="572"/>
      <c r="D1" s="572"/>
      <c r="E1" s="572"/>
      <c r="F1" s="572"/>
      <c r="H1" s="573" t="s">
        <v>420</v>
      </c>
      <c r="I1" s="573"/>
      <c r="J1" s="573"/>
      <c r="K1" s="573"/>
    </row>
    <row r="2" spans="1:11" x14ac:dyDescent="0.25">
      <c r="A2" s="572"/>
      <c r="B2" s="572"/>
      <c r="C2" s="572"/>
      <c r="D2" s="572"/>
      <c r="E2" s="572"/>
      <c r="F2" s="572"/>
      <c r="H2" s="573"/>
      <c r="I2" s="573"/>
      <c r="J2" s="573"/>
      <c r="K2" s="573"/>
    </row>
    <row r="3" spans="1:11" ht="18" customHeight="1" x14ac:dyDescent="0.25">
      <c r="A3" s="574" t="s">
        <v>421</v>
      </c>
      <c r="B3" s="574"/>
      <c r="C3" s="574"/>
      <c r="D3" s="574"/>
      <c r="E3" s="574"/>
      <c r="F3" s="574"/>
      <c r="H3" s="289" t="s">
        <v>422</v>
      </c>
      <c r="I3" s="575" t="s">
        <v>423</v>
      </c>
      <c r="J3" s="576"/>
      <c r="K3" s="577"/>
    </row>
    <row r="4" spans="1:11" ht="18" customHeight="1" x14ac:dyDescent="0.25">
      <c r="A4" s="574"/>
      <c r="B4" s="574"/>
      <c r="C4" s="574"/>
      <c r="D4" s="574"/>
      <c r="E4" s="574"/>
      <c r="F4" s="574"/>
      <c r="H4" s="289"/>
      <c r="I4" s="289"/>
    </row>
    <row r="5" spans="1:11" ht="18" customHeight="1" x14ac:dyDescent="0.25">
      <c r="A5" s="574"/>
      <c r="B5" s="574"/>
      <c r="C5" s="574"/>
      <c r="D5" s="574"/>
      <c r="E5" s="574"/>
      <c r="F5" s="574"/>
      <c r="H5" s="289" t="s">
        <v>244</v>
      </c>
      <c r="I5" s="575" t="s">
        <v>424</v>
      </c>
      <c r="J5" s="576"/>
      <c r="K5" s="577"/>
    </row>
    <row r="6" spans="1:11" ht="18" customHeight="1" x14ac:dyDescent="0.25">
      <c r="A6" s="574"/>
      <c r="B6" s="574"/>
      <c r="C6" s="574"/>
      <c r="D6" s="574"/>
      <c r="E6" s="574"/>
      <c r="F6" s="574"/>
      <c r="H6" s="289"/>
      <c r="I6" s="289"/>
    </row>
    <row r="7" spans="1:11" ht="18" customHeight="1" x14ac:dyDescent="0.25">
      <c r="A7" s="574"/>
      <c r="B7" s="574"/>
      <c r="C7" s="574"/>
      <c r="D7" s="574"/>
      <c r="E7" s="574"/>
      <c r="F7" s="574"/>
      <c r="H7" s="289" t="s">
        <v>245</v>
      </c>
      <c r="I7" s="575" t="s">
        <v>248</v>
      </c>
      <c r="J7" s="576"/>
      <c r="K7" s="577"/>
    </row>
    <row r="8" spans="1:11" ht="18" customHeight="1" x14ac:dyDescent="0.25">
      <c r="A8" s="574"/>
      <c r="B8" s="574"/>
      <c r="C8" s="574"/>
      <c r="D8" s="574"/>
      <c r="E8" s="574"/>
      <c r="F8" s="574"/>
      <c r="H8" s="289"/>
      <c r="I8" s="289"/>
    </row>
    <row r="9" spans="1:11" ht="18" customHeight="1" x14ac:dyDescent="0.25">
      <c r="A9" s="574"/>
      <c r="B9" s="574"/>
      <c r="C9" s="574"/>
      <c r="D9" s="574"/>
      <c r="E9" s="574"/>
      <c r="F9" s="574"/>
      <c r="H9" s="289" t="s">
        <v>246</v>
      </c>
      <c r="I9" s="575" t="s">
        <v>425</v>
      </c>
      <c r="J9" s="576"/>
      <c r="K9" s="577"/>
    </row>
    <row r="10" spans="1:11" ht="18" customHeight="1" x14ac:dyDescent="0.25">
      <c r="A10" s="574"/>
      <c r="B10" s="574"/>
      <c r="C10" s="574"/>
      <c r="D10" s="574"/>
      <c r="E10" s="574"/>
      <c r="F10" s="574"/>
      <c r="H10" s="289"/>
      <c r="I10" s="289"/>
    </row>
    <row r="11" spans="1:11" ht="18" customHeight="1" x14ac:dyDescent="0.25">
      <c r="A11" s="574"/>
      <c r="B11" s="574"/>
      <c r="C11" s="574"/>
      <c r="D11" s="574"/>
      <c r="E11" s="574"/>
      <c r="F11" s="574"/>
      <c r="H11" s="289" t="s">
        <v>247</v>
      </c>
      <c r="I11" s="575" t="s">
        <v>425</v>
      </c>
      <c r="J11" s="576"/>
      <c r="K11" s="577"/>
    </row>
    <row r="12" spans="1:11" ht="18" customHeight="1" x14ac:dyDescent="0.25">
      <c r="A12" s="574"/>
      <c r="B12" s="574"/>
      <c r="C12" s="574"/>
      <c r="D12" s="574"/>
      <c r="E12" s="574"/>
      <c r="F12" s="574"/>
    </row>
    <row r="13" spans="1:11" ht="20.25" x14ac:dyDescent="0.25">
      <c r="A13" s="573" t="s">
        <v>426</v>
      </c>
      <c r="B13" s="573"/>
      <c r="C13" s="573"/>
      <c r="D13" s="573"/>
      <c r="E13" s="573"/>
      <c r="F13" s="573"/>
      <c r="G13" s="573"/>
      <c r="H13" s="573"/>
      <c r="I13" s="573"/>
      <c r="J13" s="573"/>
      <c r="K13" s="573"/>
    </row>
    <row r="14" spans="1:11" x14ac:dyDescent="0.25">
      <c r="A14" s="441" t="s">
        <v>427</v>
      </c>
      <c r="B14" s="575" t="s">
        <v>963</v>
      </c>
      <c r="C14" s="576"/>
      <c r="D14" s="576"/>
      <c r="E14" s="577"/>
      <c r="H14" s="578" t="s">
        <v>428</v>
      </c>
      <c r="I14" s="578"/>
      <c r="J14" s="578"/>
      <c r="K14" s="578"/>
    </row>
    <row r="15" spans="1:11" x14ac:dyDescent="0.25">
      <c r="A15" s="441"/>
      <c r="B15" s="442"/>
      <c r="C15" s="443"/>
      <c r="D15" s="443"/>
      <c r="E15" s="443"/>
      <c r="H15" s="578"/>
      <c r="I15" s="578"/>
      <c r="J15" s="578"/>
      <c r="K15" s="578"/>
    </row>
    <row r="16" spans="1:11" x14ac:dyDescent="0.25">
      <c r="A16" s="441" t="s">
        <v>422</v>
      </c>
      <c r="B16" s="575" t="s">
        <v>964</v>
      </c>
      <c r="C16" s="576"/>
      <c r="D16" s="576"/>
      <c r="E16" s="577"/>
      <c r="H16" s="578"/>
      <c r="I16" s="578"/>
      <c r="J16" s="578"/>
      <c r="K16" s="578"/>
    </row>
    <row r="17" spans="1:11" x14ac:dyDescent="0.25">
      <c r="A17" s="444"/>
      <c r="B17" s="443"/>
      <c r="C17" s="443"/>
      <c r="D17" s="443"/>
      <c r="E17" s="443"/>
      <c r="H17" s="578"/>
      <c r="I17" s="578"/>
      <c r="J17" s="578"/>
      <c r="K17" s="578"/>
    </row>
    <row r="18" spans="1:11" x14ac:dyDescent="0.25">
      <c r="A18" s="445" t="s">
        <v>244</v>
      </c>
      <c r="B18" s="575" t="s">
        <v>1063</v>
      </c>
      <c r="C18" s="576"/>
      <c r="D18" s="576"/>
      <c r="E18" s="577"/>
      <c r="H18" s="578"/>
      <c r="I18" s="578"/>
      <c r="J18" s="578"/>
      <c r="K18" s="578"/>
    </row>
    <row r="19" spans="1:11" x14ac:dyDescent="0.25">
      <c r="A19" s="446" t="s">
        <v>429</v>
      </c>
      <c r="B19" s="443"/>
      <c r="C19" s="443"/>
      <c r="D19" s="289"/>
      <c r="E19" s="443"/>
      <c r="H19" s="578"/>
      <c r="I19" s="578"/>
      <c r="J19" s="578"/>
      <c r="K19" s="578"/>
    </row>
    <row r="20" spans="1:11" x14ac:dyDescent="0.25">
      <c r="A20" s="445" t="s">
        <v>245</v>
      </c>
      <c r="B20" s="575" t="s">
        <v>965</v>
      </c>
      <c r="C20" s="576"/>
      <c r="D20" s="576"/>
      <c r="E20" s="577"/>
      <c r="H20" s="578"/>
      <c r="I20" s="578"/>
      <c r="J20" s="578"/>
      <c r="K20" s="578"/>
    </row>
    <row r="21" spans="1:11" x14ac:dyDescent="0.25">
      <c r="A21" s="445"/>
      <c r="B21" s="289"/>
      <c r="C21" s="289"/>
      <c r="D21" s="289"/>
      <c r="E21" s="443"/>
      <c r="H21" s="578"/>
      <c r="I21" s="578"/>
      <c r="J21" s="578"/>
      <c r="K21" s="578"/>
    </row>
    <row r="22" spans="1:11" x14ac:dyDescent="0.25">
      <c r="A22" s="445" t="s">
        <v>246</v>
      </c>
      <c r="B22" s="579" t="s">
        <v>966</v>
      </c>
      <c r="C22" s="580"/>
      <c r="D22" s="580"/>
      <c r="E22" s="581"/>
      <c r="H22" s="578"/>
      <c r="I22" s="578"/>
      <c r="J22" s="578"/>
      <c r="K22" s="578"/>
    </row>
    <row r="23" spans="1:11" x14ac:dyDescent="0.25">
      <c r="A23" s="445"/>
      <c r="B23" s="289"/>
      <c r="C23" s="289"/>
      <c r="D23" s="289"/>
      <c r="E23" s="443"/>
      <c r="H23" s="578"/>
      <c r="I23" s="578"/>
      <c r="J23" s="578"/>
      <c r="K23" s="578"/>
    </row>
    <row r="24" spans="1:11" x14ac:dyDescent="0.25">
      <c r="A24" s="445" t="s">
        <v>430</v>
      </c>
      <c r="B24" s="579" t="s">
        <v>967</v>
      </c>
      <c r="C24" s="580"/>
      <c r="D24" s="580"/>
      <c r="E24" s="581"/>
      <c r="H24" s="578"/>
      <c r="I24" s="578"/>
      <c r="J24" s="578"/>
      <c r="K24" s="578"/>
    </row>
    <row r="27" spans="1:11" ht="20.25" x14ac:dyDescent="0.25">
      <c r="A27" s="573" t="s">
        <v>431</v>
      </c>
      <c r="B27" s="573"/>
      <c r="C27" s="573"/>
      <c r="D27" s="573"/>
      <c r="E27" s="573"/>
      <c r="F27" s="573"/>
      <c r="G27" s="573"/>
      <c r="H27" s="573"/>
      <c r="I27" s="573"/>
      <c r="J27" s="573"/>
      <c r="K27" s="573"/>
    </row>
    <row r="28" spans="1:11" x14ac:dyDescent="0.25">
      <c r="A28" s="441" t="s">
        <v>427</v>
      </c>
      <c r="B28" s="575" t="s">
        <v>963</v>
      </c>
      <c r="C28" s="576"/>
      <c r="D28" s="576"/>
      <c r="E28" s="577"/>
      <c r="H28" s="578" t="s">
        <v>432</v>
      </c>
      <c r="I28" s="578"/>
      <c r="J28" s="578"/>
      <c r="K28" s="578"/>
    </row>
    <row r="29" spans="1:11" x14ac:dyDescent="0.25">
      <c r="A29" s="441"/>
      <c r="B29" s="442"/>
      <c r="H29" s="578"/>
      <c r="I29" s="578"/>
      <c r="J29" s="578"/>
      <c r="K29" s="578"/>
    </row>
    <row r="30" spans="1:11" x14ac:dyDescent="0.25">
      <c r="A30" s="441" t="s">
        <v>422</v>
      </c>
      <c r="B30" s="575" t="s">
        <v>964</v>
      </c>
      <c r="C30" s="576"/>
      <c r="D30" s="576"/>
      <c r="E30" s="577"/>
      <c r="H30" s="578"/>
      <c r="I30" s="578"/>
      <c r="J30" s="578"/>
      <c r="K30" s="578"/>
    </row>
    <row r="31" spans="1:11" x14ac:dyDescent="0.25">
      <c r="A31" s="444"/>
      <c r="H31" s="578"/>
      <c r="I31" s="578"/>
      <c r="J31" s="578"/>
      <c r="K31" s="578"/>
    </row>
    <row r="32" spans="1:11" x14ac:dyDescent="0.25">
      <c r="A32" s="445" t="s">
        <v>244</v>
      </c>
      <c r="B32" s="575" t="s">
        <v>1068</v>
      </c>
      <c r="C32" s="576"/>
      <c r="D32" s="576"/>
      <c r="E32" s="577"/>
      <c r="H32" s="578"/>
      <c r="I32" s="578"/>
      <c r="J32" s="578"/>
      <c r="K32" s="578"/>
    </row>
    <row r="33" spans="1:11" x14ac:dyDescent="0.25">
      <c r="A33" s="446" t="s">
        <v>429</v>
      </c>
      <c r="D33" s="289"/>
      <c r="H33" s="578"/>
      <c r="I33" s="578"/>
      <c r="J33" s="578"/>
      <c r="K33" s="578"/>
    </row>
    <row r="34" spans="1:11" x14ac:dyDescent="0.25">
      <c r="A34" s="445" t="s">
        <v>245</v>
      </c>
      <c r="B34" s="575" t="s">
        <v>965</v>
      </c>
      <c r="C34" s="576"/>
      <c r="D34" s="576"/>
      <c r="E34" s="577"/>
      <c r="H34" s="578"/>
      <c r="I34" s="578"/>
      <c r="J34" s="578"/>
      <c r="K34" s="578"/>
    </row>
    <row r="35" spans="1:11" x14ac:dyDescent="0.25">
      <c r="A35" s="445"/>
      <c r="B35" s="289"/>
      <c r="C35" s="289"/>
      <c r="D35" s="289"/>
      <c r="H35" s="578"/>
      <c r="I35" s="578"/>
      <c r="J35" s="578"/>
      <c r="K35" s="578"/>
    </row>
    <row r="36" spans="1:11" x14ac:dyDescent="0.25">
      <c r="A36" s="445" t="s">
        <v>246</v>
      </c>
      <c r="B36" s="579" t="s">
        <v>966</v>
      </c>
      <c r="C36" s="580"/>
      <c r="D36" s="580"/>
      <c r="E36" s="581"/>
      <c r="H36" s="578"/>
      <c r="I36" s="578"/>
      <c r="J36" s="578"/>
      <c r="K36" s="578"/>
    </row>
    <row r="37" spans="1:11" x14ac:dyDescent="0.25">
      <c r="A37" s="445"/>
      <c r="B37" s="289"/>
      <c r="C37" s="289"/>
      <c r="D37" s="289"/>
      <c r="H37" s="578"/>
      <c r="I37" s="578"/>
      <c r="J37" s="578"/>
      <c r="K37" s="578"/>
    </row>
    <row r="38" spans="1:11" x14ac:dyDescent="0.25">
      <c r="A38" s="445" t="s">
        <v>430</v>
      </c>
      <c r="B38" s="579" t="s">
        <v>967</v>
      </c>
      <c r="C38" s="580"/>
      <c r="D38" s="580"/>
      <c r="E38" s="581"/>
      <c r="H38" s="578"/>
      <c r="I38" s="578"/>
      <c r="J38" s="578"/>
      <c r="K38" s="578"/>
    </row>
    <row r="39" spans="1:11" x14ac:dyDescent="0.25">
      <c r="H39" s="578"/>
      <c r="I39" s="578"/>
      <c r="J39" s="578"/>
      <c r="K39" s="578"/>
    </row>
    <row r="41" spans="1:11" ht="20.25" x14ac:dyDescent="0.25">
      <c r="A41" s="573" t="s">
        <v>433</v>
      </c>
      <c r="B41" s="573"/>
      <c r="C41" s="573"/>
      <c r="D41" s="573"/>
      <c r="E41" s="573"/>
      <c r="F41" s="573"/>
      <c r="G41" s="573"/>
      <c r="H41" s="573"/>
      <c r="I41" s="573"/>
      <c r="J41" s="573"/>
      <c r="K41" s="573"/>
    </row>
    <row r="42" spans="1:11" x14ac:dyDescent="0.25">
      <c r="A42" s="445" t="s">
        <v>244</v>
      </c>
      <c r="B42" s="575"/>
      <c r="C42" s="576"/>
      <c r="D42" s="576"/>
      <c r="E42" s="577"/>
      <c r="H42" s="578" t="s">
        <v>434</v>
      </c>
      <c r="I42" s="578"/>
      <c r="J42" s="578"/>
      <c r="K42" s="578"/>
    </row>
    <row r="43" spans="1:11" x14ac:dyDescent="0.25">
      <c r="A43" s="446" t="s">
        <v>429</v>
      </c>
      <c r="B43" s="443"/>
      <c r="C43" s="443"/>
      <c r="D43" s="289"/>
      <c r="E43" s="443"/>
      <c r="H43" s="578"/>
      <c r="I43" s="578"/>
      <c r="J43" s="578"/>
      <c r="K43" s="578"/>
    </row>
    <row r="44" spans="1:11" x14ac:dyDescent="0.25">
      <c r="A44" s="445" t="s">
        <v>245</v>
      </c>
      <c r="B44" s="575"/>
      <c r="C44" s="576"/>
      <c r="D44" s="576"/>
      <c r="E44" s="577"/>
      <c r="H44" s="578"/>
      <c r="I44" s="578"/>
      <c r="J44" s="578"/>
      <c r="K44" s="578"/>
    </row>
    <row r="45" spans="1:11" x14ac:dyDescent="0.25">
      <c r="A45" s="445"/>
      <c r="B45" s="289"/>
      <c r="C45" s="289"/>
      <c r="D45" s="289"/>
      <c r="E45" s="443"/>
      <c r="H45" s="578"/>
      <c r="I45" s="578"/>
      <c r="J45" s="578"/>
      <c r="K45" s="578"/>
    </row>
    <row r="46" spans="1:11" x14ac:dyDescent="0.25">
      <c r="A46" s="445" t="s">
        <v>246</v>
      </c>
      <c r="B46" s="579"/>
      <c r="C46" s="580"/>
      <c r="D46" s="580"/>
      <c r="E46" s="581"/>
      <c r="H46" s="578"/>
      <c r="I46" s="578"/>
      <c r="J46" s="578"/>
      <c r="K46" s="578"/>
    </row>
    <row r="47" spans="1:11" x14ac:dyDescent="0.25">
      <c r="H47" s="578"/>
      <c r="I47" s="578"/>
      <c r="J47" s="578"/>
      <c r="K47" s="578"/>
    </row>
    <row r="48" spans="1:11" x14ac:dyDescent="0.25">
      <c r="H48" s="578"/>
      <c r="I48" s="578"/>
      <c r="J48" s="578"/>
      <c r="K48" s="578"/>
    </row>
    <row r="49" spans="8:11" x14ac:dyDescent="0.25">
      <c r="H49" s="578"/>
      <c r="I49" s="578"/>
      <c r="J49" s="578"/>
      <c r="K49" s="578"/>
    </row>
  </sheetData>
  <sheetProtection sheet="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t="str">
        <f>inputPrYr!$C$3</f>
        <v>Doniphan County</v>
      </c>
      <c r="B1" s="31"/>
      <c r="C1" s="26"/>
      <c r="D1" s="26"/>
      <c r="E1" s="26"/>
      <c r="F1" s="89" t="s">
        <v>24</v>
      </c>
      <c r="G1" s="26"/>
      <c r="H1" s="26"/>
      <c r="I1" s="26"/>
      <c r="J1" s="26"/>
      <c r="K1" s="26">
        <f>inputPrYr!$C$5</f>
        <v>2024</v>
      </c>
    </row>
    <row r="2" spans="1:11" x14ac:dyDescent="0.2">
      <c r="A2" s="26"/>
      <c r="B2" s="26"/>
      <c r="C2" s="26"/>
      <c r="D2" s="26"/>
      <c r="E2" s="26"/>
      <c r="F2" s="176" t="str">
        <f>CONCATENATE("(Only the actual budget year for ",K1-2," is reported)")</f>
        <v>(Only the actual budget year for 2022 is reported)</v>
      </c>
      <c r="G2" s="26"/>
      <c r="H2" s="26"/>
      <c r="I2" s="26"/>
      <c r="J2" s="26"/>
      <c r="K2" s="26"/>
    </row>
    <row r="3" spans="1:11" x14ac:dyDescent="0.2">
      <c r="A3" s="26" t="s">
        <v>25</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62" t="str">
        <f>IF(inputPrYr!B73&gt;" ",(inputPrYr!B73)," ")</f>
        <v xml:space="preserve"> </v>
      </c>
      <c r="B5" s="663"/>
      <c r="C5" s="662" t="str">
        <f>IF(inputPrYr!B74&gt;" ",(inputPrYr!B74)," ")</f>
        <v xml:space="preserve"> </v>
      </c>
      <c r="D5" s="663"/>
      <c r="E5" s="662" t="str">
        <f>IF(inputPrYr!B75&gt;" ",(inputPrYr!B75)," ")</f>
        <v xml:space="preserve"> </v>
      </c>
      <c r="F5" s="663"/>
      <c r="G5" s="662" t="str">
        <f>IF(inputPrYr!B76&gt;" ",(inputPrYr!B76)," ")</f>
        <v xml:space="preserve"> </v>
      </c>
      <c r="H5" s="663"/>
      <c r="I5" s="662" t="str">
        <f>IF(inputPrYr!B77&gt;" ",(inputPrYr!B77)," ")</f>
        <v xml:space="preserve"> </v>
      </c>
      <c r="J5" s="663"/>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184</v>
      </c>
      <c r="B8" s="187"/>
      <c r="C8" s="186" t="s">
        <v>184</v>
      </c>
      <c r="D8" s="188"/>
      <c r="E8" s="186" t="s">
        <v>184</v>
      </c>
      <c r="F8" s="31"/>
      <c r="G8" s="186" t="s">
        <v>184</v>
      </c>
      <c r="H8" s="26"/>
      <c r="I8" s="186" t="s">
        <v>184</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88</v>
      </c>
      <c r="B17" s="185">
        <f>SUM(B9:B16)</f>
        <v>0</v>
      </c>
      <c r="C17" s="186" t="s">
        <v>88</v>
      </c>
      <c r="D17" s="185">
        <f>SUM(D9:D16)</f>
        <v>0</v>
      </c>
      <c r="E17" s="186" t="s">
        <v>88</v>
      </c>
      <c r="F17" s="225">
        <f>SUM(F9:F16)</f>
        <v>0</v>
      </c>
      <c r="G17" s="186" t="s">
        <v>88</v>
      </c>
      <c r="H17" s="185">
        <f>SUM(H9:H16)</f>
        <v>0</v>
      </c>
      <c r="I17" s="186" t="s">
        <v>88</v>
      </c>
      <c r="J17" s="185">
        <f>SUM(J9:J16)</f>
        <v>0</v>
      </c>
      <c r="K17" s="185">
        <f>SUM(B17+D17+F17+H17+J17)</f>
        <v>0</v>
      </c>
    </row>
    <row r="18" spans="1:12" x14ac:dyDescent="0.2">
      <c r="A18" s="186" t="s">
        <v>89</v>
      </c>
      <c r="B18" s="185">
        <f>SUM(B7+B17)</f>
        <v>0</v>
      </c>
      <c r="C18" s="186" t="s">
        <v>89</v>
      </c>
      <c r="D18" s="185">
        <f>SUM(D7+D17)</f>
        <v>0</v>
      </c>
      <c r="E18" s="186" t="s">
        <v>89</v>
      </c>
      <c r="F18" s="185">
        <f>SUM(F7+F17)</f>
        <v>0</v>
      </c>
      <c r="G18" s="186" t="s">
        <v>89</v>
      </c>
      <c r="H18" s="185">
        <f>SUM(H7+H17)</f>
        <v>0</v>
      </c>
      <c r="I18" s="186" t="s">
        <v>89</v>
      </c>
      <c r="J18" s="185">
        <f>SUM(J7+J17)</f>
        <v>0</v>
      </c>
      <c r="K18" s="185">
        <f>SUM(B18+D18+F18+H18+J18)</f>
        <v>0</v>
      </c>
    </row>
    <row r="19" spans="1:12" x14ac:dyDescent="0.2">
      <c r="A19" s="186" t="s">
        <v>92</v>
      </c>
      <c r="B19" s="187"/>
      <c r="C19" s="186" t="s">
        <v>92</v>
      </c>
      <c r="D19" s="188"/>
      <c r="E19" s="186" t="s">
        <v>92</v>
      </c>
      <c r="F19" s="31"/>
      <c r="G19" s="186" t="s">
        <v>92</v>
      </c>
      <c r="H19" s="26"/>
      <c r="I19" s="186" t="s">
        <v>92</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93</v>
      </c>
      <c r="B28" s="185">
        <f>SUM(B20:B27)</f>
        <v>0</v>
      </c>
      <c r="C28" s="186" t="s">
        <v>93</v>
      </c>
      <c r="D28" s="185">
        <f>SUM(D20:D27)</f>
        <v>0</v>
      </c>
      <c r="E28" s="186" t="s">
        <v>93</v>
      </c>
      <c r="F28" s="225">
        <f>SUM(F20:F27)</f>
        <v>0</v>
      </c>
      <c r="G28" s="186" t="s">
        <v>93</v>
      </c>
      <c r="H28" s="225">
        <f>SUM(H20:H27)</f>
        <v>0</v>
      </c>
      <c r="I28" s="186" t="s">
        <v>93</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8">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1" t="s">
        <v>32</v>
      </c>
      <c r="I31" s="661"/>
      <c r="J31" s="661"/>
      <c r="K31" s="661"/>
    </row>
    <row r="32" spans="1:12" x14ac:dyDescent="0.2">
      <c r="A32" s="26"/>
      <c r="B32" s="49"/>
      <c r="C32" s="26"/>
      <c r="D32" s="26"/>
      <c r="E32" s="26"/>
      <c r="F32" s="26"/>
      <c r="G32" s="26"/>
      <c r="H32" s="26"/>
      <c r="I32" s="26"/>
      <c r="J32" s="26"/>
      <c r="K32" s="26"/>
    </row>
    <row r="33" spans="1:11" x14ac:dyDescent="0.2">
      <c r="A33" s="417" t="s">
        <v>341</v>
      </c>
      <c r="B33" s="414"/>
      <c r="C33" s="388"/>
      <c r="D33" s="388"/>
      <c r="E33" s="388"/>
      <c r="F33" s="388"/>
      <c r="G33" s="388"/>
      <c r="H33" s="388"/>
      <c r="I33" s="388"/>
      <c r="J33" s="388"/>
      <c r="K33" s="391"/>
    </row>
    <row r="34" spans="1:11" x14ac:dyDescent="0.2">
      <c r="A34" s="126"/>
      <c r="B34" s="49"/>
      <c r="C34" s="26"/>
      <c r="D34" s="26"/>
      <c r="E34" s="26"/>
      <c r="F34" s="26"/>
      <c r="G34" s="26"/>
      <c r="H34" s="26"/>
      <c r="I34" s="26"/>
      <c r="J34" s="26"/>
      <c r="K34" s="306"/>
    </row>
    <row r="35" spans="1:11" x14ac:dyDescent="0.2">
      <c r="A35" s="397"/>
      <c r="B35" s="415"/>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133</v>
      </c>
      <c r="F37" s="362"/>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48"/>
  <sheetViews>
    <sheetView workbookViewId="0">
      <selection activeCell="B15" sqref="B15"/>
    </sheetView>
  </sheetViews>
  <sheetFormatPr defaultRowHeight="15" x14ac:dyDescent="0.2"/>
  <cols>
    <col min="1" max="1" width="62.44140625" style="75" customWidth="1"/>
    <col min="2" max="16384" width="8.88671875" style="75"/>
  </cols>
  <sheetData>
    <row r="1" spans="1:1" ht="18.75" x14ac:dyDescent="0.2">
      <c r="A1" s="217" t="s">
        <v>207</v>
      </c>
    </row>
    <row r="2" spans="1:1" ht="15.75" x14ac:dyDescent="0.2">
      <c r="A2" s="23"/>
    </row>
    <row r="3" spans="1:1" ht="54.75" customHeight="1" x14ac:dyDescent="0.2">
      <c r="A3" s="218" t="s">
        <v>208</v>
      </c>
    </row>
    <row r="4" spans="1:1" ht="15.75" x14ac:dyDescent="0.2">
      <c r="A4" s="282"/>
    </row>
    <row r="5" spans="1:1" ht="51" customHeight="1" x14ac:dyDescent="0.2">
      <c r="A5" s="218" t="s">
        <v>209</v>
      </c>
    </row>
    <row r="6" spans="1:1" ht="15.75" x14ac:dyDescent="0.2">
      <c r="A6" s="23"/>
    </row>
    <row r="7" spans="1:1" ht="51.75" customHeight="1" x14ac:dyDescent="0.2">
      <c r="A7" s="218" t="s">
        <v>210</v>
      </c>
    </row>
    <row r="8" spans="1:1" ht="13.5" customHeight="1" x14ac:dyDescent="0.2">
      <c r="A8" s="218"/>
    </row>
    <row r="9" spans="1:1" ht="51.75" customHeight="1" x14ac:dyDescent="0.25">
      <c r="A9" s="250" t="s">
        <v>297</v>
      </c>
    </row>
    <row r="10" spans="1:1" ht="15.75" x14ac:dyDescent="0.2">
      <c r="A10" s="282"/>
    </row>
    <row r="11" spans="1:1" ht="36" customHeight="1" x14ac:dyDescent="0.2">
      <c r="A11" s="218" t="s">
        <v>211</v>
      </c>
    </row>
    <row r="12" spans="1:1" ht="15.75" x14ac:dyDescent="0.2">
      <c r="A12" s="23"/>
    </row>
    <row r="13" spans="1:1" ht="51.75" customHeight="1" x14ac:dyDescent="0.2">
      <c r="A13" s="218" t="s">
        <v>212</v>
      </c>
    </row>
    <row r="14" spans="1:1" ht="15.75" x14ac:dyDescent="0.2">
      <c r="A14" s="282"/>
    </row>
    <row r="15" spans="1:1" ht="33" customHeight="1" x14ac:dyDescent="0.2">
      <c r="A15" s="218" t="s">
        <v>213</v>
      </c>
    </row>
    <row r="16" spans="1:1" ht="15.75" x14ac:dyDescent="0.2">
      <c r="A16" s="282"/>
    </row>
    <row r="17" spans="1:1" ht="32.25" customHeight="1" x14ac:dyDescent="0.2">
      <c r="A17" s="218" t="s">
        <v>214</v>
      </c>
    </row>
    <row r="18" spans="1:1" ht="15.75" x14ac:dyDescent="0.2">
      <c r="A18" s="282"/>
    </row>
    <row r="19" spans="1:1" ht="53.25" customHeight="1" x14ac:dyDescent="0.2">
      <c r="A19" s="218" t="s">
        <v>215</v>
      </c>
    </row>
    <row r="20" spans="1:1" ht="15.75" x14ac:dyDescent="0.2">
      <c r="A20" s="23"/>
    </row>
    <row r="21" spans="1:1" ht="50.25" customHeight="1" x14ac:dyDescent="0.2">
      <c r="A21" s="218" t="s">
        <v>216</v>
      </c>
    </row>
    <row r="22" spans="1:1" ht="15.75" x14ac:dyDescent="0.2">
      <c r="A22" s="23"/>
    </row>
    <row r="23" spans="1:1" ht="15.75" x14ac:dyDescent="0.2">
      <c r="A23" s="23"/>
    </row>
    <row r="24" spans="1:1" ht="96" customHeight="1" x14ac:dyDescent="0.2">
      <c r="A24" s="218" t="s">
        <v>217</v>
      </c>
    </row>
    <row r="25" spans="1:1" ht="15.75" x14ac:dyDescent="0.2">
      <c r="A25" s="23"/>
    </row>
    <row r="26" spans="1:1" ht="30.75" customHeight="1" x14ac:dyDescent="0.2">
      <c r="A26" s="24" t="s">
        <v>218</v>
      </c>
    </row>
    <row r="27" spans="1:1" ht="15.75" x14ac:dyDescent="0.2">
      <c r="A27" s="23"/>
    </row>
    <row r="28" spans="1:1" ht="95.25" customHeight="1" x14ac:dyDescent="0.25">
      <c r="A28" s="252" t="s">
        <v>298</v>
      </c>
    </row>
    <row r="29" spans="1:1" ht="15.75" x14ac:dyDescent="0.2">
      <c r="A29" s="23"/>
    </row>
    <row r="30" spans="1:1" ht="34.5" customHeight="1" x14ac:dyDescent="0.2">
      <c r="A30" s="218" t="s">
        <v>219</v>
      </c>
    </row>
    <row r="31" spans="1:1" ht="15.75" x14ac:dyDescent="0.2">
      <c r="A31" s="23"/>
    </row>
    <row r="32" spans="1:1" ht="66" customHeight="1" x14ac:dyDescent="0.2">
      <c r="A32" s="218" t="s">
        <v>220</v>
      </c>
    </row>
    <row r="33" spans="1:1" ht="15.75" x14ac:dyDescent="0.2">
      <c r="A33" s="282"/>
    </row>
    <row r="34" spans="1:1" ht="57" customHeight="1" x14ac:dyDescent="0.2">
      <c r="A34" s="218" t="s">
        <v>221</v>
      </c>
    </row>
    <row r="35" spans="1:1" ht="15.75" x14ac:dyDescent="0.2">
      <c r="A35" s="23"/>
    </row>
    <row r="36" spans="1:1" ht="49.5" customHeight="1" x14ac:dyDescent="0.2">
      <c r="A36" s="218" t="s">
        <v>222</v>
      </c>
    </row>
    <row r="37" spans="1:1" ht="15.75" x14ac:dyDescent="0.2">
      <c r="A37" s="23"/>
    </row>
    <row r="38" spans="1:1" ht="74.25" customHeight="1" x14ac:dyDescent="0.25">
      <c r="A38" s="252" t="s">
        <v>299</v>
      </c>
    </row>
    <row r="39" spans="1:1" ht="15.75" x14ac:dyDescent="0.2">
      <c r="A39" s="23"/>
    </row>
    <row r="40" spans="1:1" ht="55.5" customHeight="1" x14ac:dyDescent="0.2">
      <c r="A40" s="218" t="s">
        <v>223</v>
      </c>
    </row>
    <row r="41" spans="1:1" ht="15.75" x14ac:dyDescent="0.2">
      <c r="A41" s="23"/>
    </row>
    <row r="42" spans="1:1" ht="53.25" customHeight="1" x14ac:dyDescent="0.2">
      <c r="A42" s="218" t="s">
        <v>224</v>
      </c>
    </row>
    <row r="43" spans="1:1" ht="15.75" x14ac:dyDescent="0.2">
      <c r="A43" s="282"/>
    </row>
    <row r="44" spans="1:1" ht="47.25" customHeight="1" x14ac:dyDescent="0.2">
      <c r="A44" s="218" t="s">
        <v>225</v>
      </c>
    </row>
    <row r="45" spans="1:1" ht="15.75" x14ac:dyDescent="0.2">
      <c r="A45" s="282"/>
    </row>
    <row r="46" spans="1:1" ht="49.5" customHeight="1" x14ac:dyDescent="0.2">
      <c r="A46" s="218" t="s">
        <v>226</v>
      </c>
    </row>
    <row r="47" spans="1:1" ht="15.75" x14ac:dyDescent="0.2">
      <c r="A47" s="282"/>
    </row>
    <row r="48" spans="1:1" ht="36" customHeight="1" x14ac:dyDescent="0.2">
      <c r="A48" s="218" t="s">
        <v>227</v>
      </c>
    </row>
  </sheetData>
  <sheetProtection sheet="1"/>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F0"/>
    <pageSetUpPr fitToPage="1"/>
  </sheetPr>
  <dimension ref="A1:M82"/>
  <sheetViews>
    <sheetView zoomScale="90" zoomScaleNormal="90" workbookViewId="0">
      <selection activeCell="B48" sqref="B48"/>
    </sheetView>
  </sheetViews>
  <sheetFormatPr defaultRowHeight="15.75" x14ac:dyDescent="0.2"/>
  <cols>
    <col min="1" max="1" width="19.109375" style="23" customWidth="1"/>
    <col min="2" max="2" width="15.6640625" style="23" customWidth="1"/>
    <col min="3" max="3" width="9.44140625" style="23" customWidth="1"/>
    <col min="4" max="4" width="16.77734375" style="23" customWidth="1"/>
    <col min="5" max="5" width="9.77734375" style="23" customWidth="1"/>
    <col min="6" max="6" width="15.77734375" style="23" customWidth="1"/>
    <col min="7" max="7" width="13.6640625" style="23" customWidth="1"/>
    <col min="8" max="8" width="9.77734375" style="23" customWidth="1"/>
    <col min="9" max="9" width="8.88671875" style="23"/>
    <col min="10" max="10" width="12.44140625" style="23" customWidth="1"/>
    <col min="11" max="11" width="12.33203125" style="23" customWidth="1"/>
    <col min="12" max="12" width="10.5546875" style="23" customWidth="1"/>
    <col min="13" max="13" width="12.109375" style="23" customWidth="1"/>
    <col min="14" max="16384" width="8.88671875" style="23"/>
  </cols>
  <sheetData>
    <row r="1" spans="1:9" x14ac:dyDescent="0.2">
      <c r="A1" s="26" t="str">
        <f>inputPrYr!C3</f>
        <v>Doniphan County</v>
      </c>
      <c r="B1" s="26"/>
      <c r="C1" s="26"/>
      <c r="D1" s="26"/>
      <c r="E1" s="26"/>
      <c r="F1" s="26"/>
      <c r="G1" s="26"/>
      <c r="H1" s="125">
        <f>inputPrYr!C5</f>
        <v>2024</v>
      </c>
    </row>
    <row r="2" spans="1:9" x14ac:dyDescent="0.2">
      <c r="A2" s="604" t="s">
        <v>166</v>
      </c>
      <c r="B2" s="604"/>
      <c r="C2" s="604"/>
      <c r="D2" s="604"/>
      <c r="E2" s="604"/>
      <c r="F2" s="604"/>
      <c r="G2" s="604"/>
      <c r="H2" s="604"/>
      <c r="I2" s="199"/>
    </row>
    <row r="3" spans="1:9" x14ac:dyDescent="0.2">
      <c r="A3" s="26"/>
      <c r="B3" s="26"/>
      <c r="C3" s="26"/>
      <c r="D3" s="26"/>
      <c r="E3" s="26"/>
      <c r="F3" s="26"/>
      <c r="G3" s="26"/>
      <c r="H3" s="26"/>
    </row>
    <row r="4" spans="1:9" x14ac:dyDescent="0.2">
      <c r="A4" s="600" t="s">
        <v>178</v>
      </c>
      <c r="B4" s="600"/>
      <c r="C4" s="600"/>
      <c r="D4" s="600"/>
      <c r="E4" s="600"/>
      <c r="F4" s="600"/>
      <c r="G4" s="600"/>
      <c r="H4" s="600"/>
    </row>
    <row r="5" spans="1:9" x14ac:dyDescent="0.2">
      <c r="A5" s="598" t="str">
        <f>inputPrYr!C3</f>
        <v>Doniphan County</v>
      </c>
      <c r="B5" s="598"/>
      <c r="C5" s="598"/>
      <c r="D5" s="598"/>
      <c r="E5" s="598"/>
      <c r="F5" s="598"/>
      <c r="G5" s="598"/>
      <c r="H5" s="598"/>
    </row>
    <row r="6" spans="1:9" x14ac:dyDescent="0.2">
      <c r="A6" s="683" t="str">
        <f>CONCATENATE("will meet on ",inputHearing!B18," at ",inputHearing!B20," at ",inputHearing!B22," for the purpose of hearing and")</f>
        <v>will meet on August 28, 2023  at 9:30 A.M. at Doniphan County Courthouse 120 E Chestnut St Troy, KS for the purpose of hearing and</v>
      </c>
      <c r="B6" s="683"/>
      <c r="C6" s="683"/>
      <c r="D6" s="683"/>
      <c r="E6" s="683"/>
      <c r="F6" s="683"/>
      <c r="G6" s="683"/>
      <c r="H6" s="683"/>
    </row>
    <row r="7" spans="1:9" x14ac:dyDescent="0.2">
      <c r="A7" s="600" t="s">
        <v>269</v>
      </c>
      <c r="B7" s="600"/>
      <c r="C7" s="600"/>
      <c r="D7" s="600"/>
      <c r="E7" s="600"/>
      <c r="F7" s="600"/>
      <c r="G7" s="600"/>
      <c r="H7" s="600"/>
    </row>
    <row r="8" spans="1:9" x14ac:dyDescent="0.2">
      <c r="A8" s="683" t="str">
        <f>CONCATENATE("Detailed budget information is available at ",inputHearing!B24," and will be available at this hearing.")</f>
        <v>Detailed budget information is available at Doniphan County Clerk's Office and will be available at this hearing.</v>
      </c>
      <c r="B8" s="683"/>
      <c r="C8" s="683"/>
      <c r="D8" s="683"/>
      <c r="E8" s="683"/>
      <c r="F8" s="683"/>
      <c r="G8" s="683"/>
      <c r="H8" s="683"/>
    </row>
    <row r="9" spans="1:9" x14ac:dyDescent="0.2">
      <c r="A9" s="597" t="s">
        <v>167</v>
      </c>
      <c r="B9" s="597"/>
      <c r="C9" s="597"/>
      <c r="D9" s="597"/>
      <c r="E9" s="597"/>
      <c r="F9" s="597"/>
      <c r="G9" s="597"/>
      <c r="H9" s="597"/>
    </row>
    <row r="10" spans="1:9" x14ac:dyDescent="0.2">
      <c r="A10" s="600" t="str">
        <f>CONCATENATE("Proposed Budget ",H1," Expenditures and Amount of ",H1-1," Ad Valorem Tax establish the maximum limits of the ",H1," budget.")</f>
        <v>Proposed Budget 2024 Expenditures and Amount of 2023 Ad Valorem Tax establish the maximum limits of the 2024 budget.</v>
      </c>
      <c r="B10" s="600"/>
      <c r="C10" s="600"/>
      <c r="D10" s="600"/>
      <c r="E10" s="600"/>
      <c r="F10" s="600"/>
      <c r="G10" s="600"/>
      <c r="H10" s="600"/>
    </row>
    <row r="11" spans="1:9" x14ac:dyDescent="0.2">
      <c r="A11" s="600" t="s">
        <v>188</v>
      </c>
      <c r="B11" s="600"/>
      <c r="C11" s="600"/>
      <c r="D11" s="600"/>
      <c r="E11" s="600"/>
      <c r="F11" s="600"/>
      <c r="G11" s="600"/>
      <c r="H11" s="600"/>
    </row>
    <row r="12" spans="1:9" x14ac:dyDescent="0.2">
      <c r="A12" s="26"/>
      <c r="B12" s="26"/>
      <c r="C12" s="26"/>
      <c r="D12" s="26"/>
      <c r="E12" s="26"/>
      <c r="F12" s="26"/>
      <c r="G12" s="26"/>
      <c r="H12" s="26"/>
      <c r="I12" s="56"/>
    </row>
    <row r="13" spans="1:9" x14ac:dyDescent="0.2">
      <c r="A13" s="26"/>
      <c r="B13" s="662" t="str">
        <f>CONCATENATE("Prior Year Actual for ",H1-2,"")</f>
        <v>Prior Year Actual for 2022</v>
      </c>
      <c r="C13" s="663"/>
      <c r="D13" s="684" t="str">
        <f>CONCATENATE("Current Year Estimate for ",H1-1,"")</f>
        <v>Current Year Estimate for 2023</v>
      </c>
      <c r="E13" s="685"/>
      <c r="F13" s="590" t="str">
        <f>CONCATENATE("Proposed Budget Year for ",H1,"")</f>
        <v>Proposed Budget Year for 2024</v>
      </c>
      <c r="G13" s="591"/>
      <c r="H13" s="592"/>
    </row>
    <row r="14" spans="1:9" ht="24.95" customHeight="1" x14ac:dyDescent="0.2">
      <c r="A14" s="25"/>
      <c r="B14" s="616" t="s">
        <v>60</v>
      </c>
      <c r="C14" s="595" t="s">
        <v>536</v>
      </c>
      <c r="D14" s="616" t="s">
        <v>537</v>
      </c>
      <c r="E14" s="595" t="s">
        <v>536</v>
      </c>
      <c r="F14" s="681" t="s">
        <v>523</v>
      </c>
      <c r="G14" s="595" t="str">
        <f>CONCATENATE("Amount of ",H1-1,"       Ad Valorem Tax")</f>
        <v>Amount of 2023       Ad Valorem Tax</v>
      </c>
      <c r="H14" s="595" t="s">
        <v>538</v>
      </c>
    </row>
    <row r="15" spans="1:9" ht="24.95" customHeight="1" x14ac:dyDescent="0.2">
      <c r="A15" s="43" t="s">
        <v>134</v>
      </c>
      <c r="B15" s="618"/>
      <c r="C15" s="596"/>
      <c r="D15" s="618"/>
      <c r="E15" s="596"/>
      <c r="F15" s="682"/>
      <c r="G15" s="569"/>
      <c r="H15" s="596"/>
    </row>
    <row r="16" spans="1:9" x14ac:dyDescent="0.2">
      <c r="A16" s="50" t="str">
        <f>inputPrYr!B17</f>
        <v>General</v>
      </c>
      <c r="B16" s="50">
        <f>IF(General!$C$59&lt;&gt;0,General!$C$59,"  ")</f>
        <v>2668705</v>
      </c>
      <c r="C16" s="200">
        <f>IF(inputPrYr!D83&lt;&gt;0,inputPrYr!D83,"  ")</f>
        <v>13.65</v>
      </c>
      <c r="D16" s="50">
        <f>IF(General!$D$59&lt;&gt;0,General!$D$59,"  ")</f>
        <v>3369603</v>
      </c>
      <c r="E16" s="200">
        <f>IF(inputPrYr!F17&lt;&gt;0,inputPrYr!F17,"  ")</f>
        <v>13.987</v>
      </c>
      <c r="F16" s="50">
        <f>IF(General!$E$59&lt;&gt;0,General!$E$59,"  ")</f>
        <v>3573980</v>
      </c>
      <c r="G16" s="50">
        <f>IF(General!$E$66&lt;&gt;0,General!$E$66,"  ")</f>
        <v>1690482.5762</v>
      </c>
      <c r="H16" s="200">
        <f>IF(General!E66&lt;&gt;0,ROUND(G16/$F$66*1000,3),"  ")</f>
        <v>10.666</v>
      </c>
    </row>
    <row r="17" spans="1:8" x14ac:dyDescent="0.2">
      <c r="A17" s="50" t="str">
        <f>inputPrYr!B18</f>
        <v>Debt Service</v>
      </c>
      <c r="B17" s="50" t="str">
        <f>IF('Debt Service'!$C$52&lt;&gt;0,'Debt Service'!$C$52,"  ")</f>
        <v xml:space="preserve">  </v>
      </c>
      <c r="C17" s="200" t="str">
        <f>IF(inputPrYr!D84&lt;&gt;0,inputPrYr!D84,"  ")</f>
        <v xml:space="preserve">  </v>
      </c>
      <c r="D17" s="50" t="str">
        <f>IF('Debt Service'!$D$52&lt;&gt;0,'Debt Service'!$D$52,"  ")</f>
        <v xml:space="preserve">  </v>
      </c>
      <c r="E17" s="200" t="str">
        <f>IF(inputPrYr!F18&lt;&gt;0,inputPrYr!F18,"  ")</f>
        <v xml:space="preserve">  </v>
      </c>
      <c r="F17" s="50" t="str">
        <f>IF('Debt Service'!$E$52&lt;&gt;0,'Debt Service'!$E$52,"  ")</f>
        <v xml:space="preserve">  </v>
      </c>
      <c r="G17" s="50" t="str">
        <f>IF('Debt Service'!$E$59&lt;&gt;0,'Debt Service'!$E$59,"  ")</f>
        <v xml:space="preserve">  </v>
      </c>
      <c r="H17" s="200" t="str">
        <f>IF('Debt Service'!E59&lt;&gt;0,ROUND(G17/$F$66*1000,3),"  ")</f>
        <v xml:space="preserve">  </v>
      </c>
    </row>
    <row r="18" spans="1:8" x14ac:dyDescent="0.2">
      <c r="A18" s="50" t="str">
        <f>inputPrYr!B19</f>
        <v>Road &amp; Bridge</v>
      </c>
      <c r="B18" s="50">
        <f>IF('Road &amp; Bridge'!$C$54&lt;&gt;0,'Road &amp; Bridge'!$C$54,"  ")</f>
        <v>3219984</v>
      </c>
      <c r="C18" s="200">
        <f>IF(inputPrYr!D85&lt;&gt;0,inputPrYr!D85,"  ")</f>
        <v>13.973000000000001</v>
      </c>
      <c r="D18" s="50">
        <f>IF('Road &amp; Bridge'!$D$54&lt;&gt;0,'Road &amp; Bridge'!$D$54,"  ")</f>
        <v>3189122</v>
      </c>
      <c r="E18" s="200">
        <f>IF(inputPrYr!F19&lt;&gt;0,inputPrYr!F19,"  ")</f>
        <v>14.208</v>
      </c>
      <c r="F18" s="50">
        <f>IF('Road &amp; Bridge'!$E$54&lt;&gt;0,'Road &amp; Bridge'!$E$54,"  ")</f>
        <v>3689122</v>
      </c>
      <c r="G18" s="50">
        <f>IF('Road &amp; Bridge'!$E$61&lt;&gt;0,'Road &amp; Bridge'!$E$61,"  ")</f>
        <v>2250118.3782000002</v>
      </c>
      <c r="H18" s="200">
        <f>IF('Road &amp; Bridge'!E61&lt;&gt;0,ROUND(G18/$F$66*1000,3),"  ")</f>
        <v>14.198</v>
      </c>
    </row>
    <row r="19" spans="1:8" x14ac:dyDescent="0.2">
      <c r="A19" s="50" t="str">
        <f>IF((inputPrYr!$B20&gt;" "),(inputPrYr!$B20),"  ")</f>
        <v>Fair</v>
      </c>
      <c r="B19" s="50">
        <f>IF(FairCon!$C$35&lt;&gt;0,FairCon!$C$35,"  ")</f>
        <v>20000</v>
      </c>
      <c r="C19" s="200">
        <f>IF(inputPrYr!D86&lt;&gt;0,inputPrYr!D86,"  ")</f>
        <v>0.126</v>
      </c>
      <c r="D19" s="50">
        <f>IF(FairCon!$D$35&lt;&gt;0,FairCon!$D$35,"  ")</f>
        <v>20000</v>
      </c>
      <c r="E19" s="200">
        <f>IF(inputPrYr!F20&lt;&gt;0,inputPrYr!F20,"  ")</f>
        <v>0.11600000000000001</v>
      </c>
      <c r="F19" s="50">
        <f>IF(FairCon!$E$35&lt;&gt;0,FairCon!$E$35,"  ")</f>
        <v>20000</v>
      </c>
      <c r="G19" s="50">
        <f>IF(FairCon!$E$42&lt;&gt;0,FairCon!$E$42,"  ")</f>
        <v>18758</v>
      </c>
      <c r="H19" s="200">
        <f>IF(FairCon!E42&lt;&gt;0,ROUND(G19/$F$66*1000,3),"  ")</f>
        <v>0.11799999999999999</v>
      </c>
    </row>
    <row r="20" spans="1:8" x14ac:dyDescent="0.2">
      <c r="A20" s="50" t="str">
        <f>IF((inputPrYr!$B21&gt;" "),(inputPrYr!$B21),"  ")</f>
        <v>Conservation</v>
      </c>
      <c r="B20" s="50">
        <f>IF(FairCon!$C$74&lt;&gt;0,FairCon!$C$74,"  ")</f>
        <v>35000</v>
      </c>
      <c r="C20" s="200">
        <f>IF(inputPrYr!D87&lt;&gt;0,inputPrYr!D87,"  ")</f>
        <v>0.221</v>
      </c>
      <c r="D20" s="50">
        <f>IF(FairCon!$D$74&lt;&gt;0,FairCon!$D$74,"  ")</f>
        <v>35000</v>
      </c>
      <c r="E20" s="200">
        <f>IF(inputPrYr!F21&lt;&gt;0,inputPrYr!F21,"  ")</f>
        <v>0.20599999999999999</v>
      </c>
      <c r="F20" s="50">
        <f>IF(FairCon!$E$74&lt;&gt;0,FairCon!$E$74,"  ")</f>
        <v>35000</v>
      </c>
      <c r="G20" s="50">
        <f>IF(FairCon!$E$81&lt;&gt;0,FairCon!$E$81,"  ")</f>
        <v>33218</v>
      </c>
      <c r="H20" s="200">
        <f>IF(FairCon!E81&lt;&gt;0,ROUND(G20/$F$66*1000,3),"  ")</f>
        <v>0.21</v>
      </c>
    </row>
    <row r="21" spans="1:8" x14ac:dyDescent="0.2">
      <c r="A21" s="50" t="str">
        <f>IF((inputPrYr!$B22&gt;" "),(inputPrYr!$B22),"  ")</f>
        <v>Appraiser</v>
      </c>
      <c r="B21" s="50">
        <f>IF(ApprNW!$C$35&lt;&gt;0,ApprNW!$C$35,"  ")</f>
        <v>253063</v>
      </c>
      <c r="C21" s="200">
        <f>IF(inputPrYr!D88&lt;&gt;0,inputPrYr!D88,"  ")</f>
        <v>1.41</v>
      </c>
      <c r="D21" s="50">
        <f>IF(ApprNW!$D$35&lt;&gt;0,ApprNW!$D$35,"  ")</f>
        <v>340970</v>
      </c>
      <c r="E21" s="200">
        <f>IF(inputPrYr!F22&lt;&gt;0,inputPrYr!F22,"  ")</f>
        <v>1.871</v>
      </c>
      <c r="F21" s="50">
        <f>IF(ApprNW!$E$35&lt;&gt;0,ApprNW!$E$35,"  ")</f>
        <v>357324</v>
      </c>
      <c r="G21" s="50">
        <f>IF(ApprNW!$E$42&lt;&gt;0,ApprNW!$E$42,"  ")</f>
        <v>264605</v>
      </c>
      <c r="H21" s="200">
        <f>IF(ApprNW!$E$42&lt;&gt;0,ROUND(G21/$F$66*1000,3),"  ")</f>
        <v>1.67</v>
      </c>
    </row>
    <row r="22" spans="1:8" x14ac:dyDescent="0.2">
      <c r="A22" s="50" t="str">
        <f>IF((inputPrYr!$B23&gt;" "),(inputPrYr!$B23),"  ")</f>
        <v>Noxious Weed</v>
      </c>
      <c r="B22" s="50">
        <f>IF(ApprNW!$C$76&lt;&gt;0,ApprNW!$C$76,"  ")</f>
        <v>76809</v>
      </c>
      <c r="C22" s="200">
        <f>IF(inputPrYr!D89&lt;&gt;0,inputPrYr!D89,"  ")</f>
        <v>0.50900000000000001</v>
      </c>
      <c r="D22" s="50">
        <f>IF(ApprNW!$D$76&lt;&gt;0,ApprNW!$D$76,"  ")</f>
        <v>133000</v>
      </c>
      <c r="E22" s="200">
        <f>IF(inputPrYr!F23&lt;&gt;0,inputPrYr!F23,"  ")</f>
        <v>0.51900000000000002</v>
      </c>
      <c r="F22" s="50">
        <f>IF(ApprNW!$E$76&lt;&gt;0,ApprNW!$E$76,"  ")</f>
        <v>136000</v>
      </c>
      <c r="G22" s="50">
        <f>IF(ApprNW!$E$83&lt;&gt;0,ApprNW!$E$83,"  ")</f>
        <v>83476</v>
      </c>
      <c r="H22" s="200">
        <f>IF(ApprNW!$E$83&lt;&gt;0,ROUND(G22/$F$66*1000,3),"  ")</f>
        <v>0.52700000000000002</v>
      </c>
    </row>
    <row r="23" spans="1:8" x14ac:dyDescent="0.2">
      <c r="A23" s="50" t="str">
        <f>IF((inputPrYr!$B24&gt;" "),(inputPrYr!$B24),"  ")</f>
        <v>Noxious Weed Chemical</v>
      </c>
      <c r="B23" s="50">
        <f>IF(NWCEle!$C$34&lt;&gt;0,NWCEle!$C$34,"  ")</f>
        <v>71343</v>
      </c>
      <c r="C23" s="200">
        <f>IF(inputPrYr!D90&lt;&gt;0,inputPrYr!D90,"  ")</f>
        <v>0.32300000000000001</v>
      </c>
      <c r="D23" s="50">
        <f>IF(NWCEle!$D$34&lt;&gt;0,NWCEle!$D$34,"  ")</f>
        <v>110000</v>
      </c>
      <c r="E23" s="200">
        <f>IF(inputPrYr!F24&lt;&gt;0,inputPrYr!F24,"  ")</f>
        <v>0.41299999999999998</v>
      </c>
      <c r="F23" s="50">
        <f>IF(NWCEle!$E$34&lt;&gt;0,NWCEle!$E$34,"  ")</f>
        <v>110000</v>
      </c>
      <c r="G23" s="50">
        <f>IF(NWCEle!$E$41&lt;&gt;0,NWCEle!$E$41,"  ")</f>
        <v>14055</v>
      </c>
      <c r="H23" s="200">
        <f>IF(NWCEle!$E$41&lt;&gt;0,ROUND(G23/$F$66*1000,3),"  ")</f>
        <v>8.8999999999999996E-2</v>
      </c>
    </row>
    <row r="24" spans="1:8" x14ac:dyDescent="0.2">
      <c r="A24" s="50" t="str">
        <f>IF((inputPrYr!$B25&gt;" "),(inputPrYr!$B25),"  ")</f>
        <v>Election</v>
      </c>
      <c r="B24" s="50">
        <f>IF(NWCEle!$C$75&lt;&gt;0,NWCEle!$C$75,"  ")</f>
        <v>64208</v>
      </c>
      <c r="C24" s="200">
        <f>IF(inputPrYr!D91&lt;&gt;0,inputPrYr!D91,"  ")</f>
        <v>0.30099999999999999</v>
      </c>
      <c r="D24" s="50">
        <f>IF(NWCEle!$D$75&lt;&gt;0,NWCEle!$D$75,"  ")</f>
        <v>60300</v>
      </c>
      <c r="E24" s="200">
        <f>IF(inputPrYr!F25&lt;&gt;0,inputPrYr!F25,"  ")</f>
        <v>0.15</v>
      </c>
      <c r="F24" s="50">
        <f>IF(NWCEle!$E$75&lt;&gt;0,NWCEle!$E$75,"  ")</f>
        <v>113300</v>
      </c>
      <c r="G24" s="50">
        <f>IF(NWCEle!$E$82&lt;&gt;0,NWCEle!$E$82,"  ")</f>
        <v>57557</v>
      </c>
      <c r="H24" s="200">
        <f>IF(NWCEle!$E$82&lt;&gt;0,ROUND(G24/$F$66*1000,3),"  ")</f>
        <v>0.36299999999999999</v>
      </c>
    </row>
    <row r="25" spans="1:8" x14ac:dyDescent="0.2">
      <c r="A25" s="50" t="str">
        <f>IF((inputPrYr!$B26&gt;" "),(inputPrYr!$B26),"  ")</f>
        <v>Extension Council</v>
      </c>
      <c r="B25" s="50">
        <f>IF('Ext Eld'!$C$34&lt;&gt;0,'Ext Eld'!$C$34,"  ")</f>
        <v>127382</v>
      </c>
      <c r="C25" s="200">
        <f>IF(inputPrYr!D92&lt;&gt;0,inputPrYr!D92,"  ")</f>
        <v>0.79800000000000004</v>
      </c>
      <c r="D25" s="50">
        <f>IF('Ext Eld'!$D$34&lt;&gt;0,'Ext Eld'!$D$34,"  ")</f>
        <v>135182</v>
      </c>
      <c r="E25" s="200">
        <f>IF(inputPrYr!F26&lt;&gt;0,inputPrYr!F26,"  ")</f>
        <v>0.80200000000000005</v>
      </c>
      <c r="F25" s="50">
        <f>IF('Ext Eld'!$E$34&lt;&gt;0,'Ext Eld'!$E$34,"  ")</f>
        <v>161864</v>
      </c>
      <c r="G25" s="50">
        <f>IF('Ext Eld'!$E$41&lt;&gt;0,'Ext Eld'!$E$41,"  ")</f>
        <v>144212.6</v>
      </c>
      <c r="H25" s="200">
        <f>IF('Ext Eld'!$E$41&lt;&gt;0,ROUND(G25/$F$66*1000,3),"  ")</f>
        <v>0.91</v>
      </c>
    </row>
    <row r="26" spans="1:8" x14ac:dyDescent="0.2">
      <c r="A26" s="50" t="str">
        <f>IF((inputPrYr!$B27&gt;" "),(inputPrYr!$B27),"  ")</f>
        <v>Elderly</v>
      </c>
      <c r="B26" s="50">
        <f>IF('Ext Eld'!$C$74&lt;&gt;0,'Ext Eld'!$C$74,"  ")</f>
        <v>287716</v>
      </c>
      <c r="C26" s="200">
        <f>IF(inputPrYr!D93&lt;&gt;0,inputPrYr!D93,"  ")</f>
        <v>1.5860000000000001</v>
      </c>
      <c r="D26" s="50">
        <f>IF('Ext Eld'!$D$74&lt;&gt;0,'Ext Eld'!$D$74,"  ")</f>
        <v>398500</v>
      </c>
      <c r="E26" s="200">
        <f>IF(inputPrYr!F27&lt;&gt;0,inputPrYr!F27,"  ")</f>
        <v>1.516</v>
      </c>
      <c r="F26" s="50">
        <f>IF('Ext Eld'!$E$74&lt;&gt;0,'Ext Eld'!$E$74,"  ")</f>
        <v>483398</v>
      </c>
      <c r="G26" s="50">
        <f>IF('Ext Eld'!$E$81&lt;&gt;0,'Ext Eld'!$E$81,"  ")</f>
        <v>438118</v>
      </c>
      <c r="H26" s="200">
        <f>IF('Ext Eld'!$E$81&lt;&gt;0,ROUND(G26/$F$66*1000,3),"  ")</f>
        <v>2.7639999999999998</v>
      </c>
    </row>
    <row r="27" spans="1:8" x14ac:dyDescent="0.2">
      <c r="A27" s="50" t="str">
        <f>IF((inputPrYr!$B28&gt;" "),(inputPrYr!$B28),"  ")</f>
        <v>Economic Development</v>
      </c>
      <c r="B27" s="50">
        <f>IF('ED HD'!$C$33&lt;&gt;0,'ED HD'!$C$33,"  ")</f>
        <v>96881</v>
      </c>
      <c r="C27" s="200">
        <f>IF(inputPrYr!D94&lt;&gt;0,inputPrYr!D94,"  ")</f>
        <v>0.52100000000000002</v>
      </c>
      <c r="D27" s="50">
        <f>IF('ED HD'!$D$33&lt;&gt;0,'ED HD'!$D$33,"  ")</f>
        <v>138000</v>
      </c>
      <c r="E27" s="200">
        <f>IF(inputPrYr!F28&lt;&gt;0,inputPrYr!F28,"  ")</f>
        <v>0.5</v>
      </c>
      <c r="F27" s="50">
        <f>IF('ED HD'!$E$33&lt;&gt;0,'ED HD'!$E$33,"  ")</f>
        <v>140000</v>
      </c>
      <c r="G27" s="50">
        <f>IF('ED HD'!$E$40&lt;&gt;0,'ED HD'!$E$40,"  ")</f>
        <v>64003</v>
      </c>
      <c r="H27" s="200">
        <f>IF('ED HD'!$E$40&lt;&gt;0,ROUND(G27/$F$66*1000,3),"  ")</f>
        <v>0.40400000000000003</v>
      </c>
    </row>
    <row r="28" spans="1:8" x14ac:dyDescent="0.2">
      <c r="A28" s="50" t="str">
        <f>IF((inputPrYr!$B29&gt;" "),(inputPrYr!$B29),"  ")</f>
        <v>Health</v>
      </c>
      <c r="B28" s="50">
        <f>IF('ED HD'!$C$73&lt;&gt;0,'ED HD'!$C$73,"  ")</f>
        <v>907795</v>
      </c>
      <c r="C28" s="200">
        <f>IF(inputPrYr!D95&lt;&gt;0,inputPrYr!D95,"  ")</f>
        <v>0.93400000000000005</v>
      </c>
      <c r="D28" s="50">
        <f>IF('ED HD'!$D$73&lt;&gt;0,'ED HD'!$D$73,"  ")</f>
        <v>1030000</v>
      </c>
      <c r="E28" s="200">
        <f>IF(inputPrYr!F29&lt;&gt;0,inputPrYr!F29,"  ")</f>
        <v>0.89700000000000002</v>
      </c>
      <c r="F28" s="50">
        <f>IF('ED HD'!$E$73&lt;&gt;0,'ED HD'!$E$73,"  ")</f>
        <v>1153223</v>
      </c>
      <c r="G28" s="50">
        <f>IF('ED HD'!$E$80&lt;&gt;0,'ED HD'!$E$80,"  ")</f>
        <v>141928</v>
      </c>
      <c r="H28" s="200">
        <f>IF('ED HD'!$E$80&lt;&gt;0,ROUND(G28/$F$66*1000,3),"  ")</f>
        <v>0.89600000000000002</v>
      </c>
    </row>
    <row r="29" spans="1:8" x14ac:dyDescent="0.2">
      <c r="A29" s="50" t="str">
        <f>IF((inputPrYr!$B30&gt;" "),(inputPrYr!$B30),"  ")</f>
        <v>Mental Health Workshop</v>
      </c>
      <c r="B29" s="50">
        <f>IF('Mental Health'!$C$33&lt;&gt;0,'Mental Health'!$C$33,"  ")</f>
        <v>29760</v>
      </c>
      <c r="C29" s="200">
        <f>IF(inputPrYr!D96&lt;&gt;0,inputPrYr!D96,"  ")</f>
        <v>0.187</v>
      </c>
      <c r="D29" s="50">
        <f>IF('Mental Health'!$D$33&lt;&gt;0,'Mental Health'!$D$33,"  ")</f>
        <v>29760</v>
      </c>
      <c r="E29" s="200">
        <f>IF(inputPrYr!F30&lt;&gt;0,inputPrYr!F30,"  ")</f>
        <v>0.17499999999999999</v>
      </c>
      <c r="F29" s="50">
        <f>IF('Mental Health'!$E$33&lt;&gt;0,'Mental Health'!$E$33,"  ")</f>
        <v>33760</v>
      </c>
      <c r="G29" s="50">
        <f>IF('Mental Health'!$E$40&lt;&gt;0,'Mental Health'!$E$40,"  ")</f>
        <v>32156</v>
      </c>
      <c r="H29" s="200">
        <f>IF('Mental Health'!$E$40&lt;&gt;0,ROUND(G29/$F$66*1000,3),"  ")</f>
        <v>0.20300000000000001</v>
      </c>
    </row>
    <row r="30" spans="1:8" x14ac:dyDescent="0.2">
      <c r="A30" s="50" t="str">
        <f>IF((inputPrYr!$B31&gt;" "),(inputPrYr!$B31),"  ")</f>
        <v>Community Mental Health</v>
      </c>
      <c r="B30" s="50">
        <f>IF('Mental Health'!$C$74&lt;&gt;0,'Mental Health'!$C$74,"  ")</f>
        <v>43779</v>
      </c>
      <c r="C30" s="200">
        <f>IF(inputPrYr!D97&lt;&gt;0,inputPrYr!D97,"  ")</f>
        <v>0.28100000000000003</v>
      </c>
      <c r="D30" s="50">
        <f>IF('Mental Health'!$D$74&lt;&gt;0,'Mental Health'!$D$74,"  ")</f>
        <v>44200</v>
      </c>
      <c r="E30" s="200">
        <f>IF(inputPrYr!F31&lt;&gt;0,inputPrYr!F31,"  ")</f>
        <v>0.17599999999999999</v>
      </c>
      <c r="F30" s="50">
        <f>IF('Mental Health'!$E$74&lt;&gt;0,'Mental Health'!$E$74,"  ")</f>
        <v>44200</v>
      </c>
      <c r="G30" s="50">
        <f>IF('Mental Health'!$E$81&lt;&gt;0,'Mental Health'!$E$81,"  ")</f>
        <v>28247</v>
      </c>
      <c r="H30" s="200">
        <f>IF('Mental Health'!$E$81&lt;&gt;0,ROUND(G30/$F$66*1000,3),"  ")</f>
        <v>0.17799999999999999</v>
      </c>
    </row>
    <row r="31" spans="1:8" x14ac:dyDescent="0.2">
      <c r="A31" s="50" t="str">
        <f>IF((inputPrYr!$B32&gt;" "),(inputPrYr!$B32),"  ")</f>
        <v>Employee Benefit</v>
      </c>
      <c r="B31" s="50">
        <f>IF('Emp Ben'!$C$34&lt;&gt;0,'Emp Ben'!$C$34,"  ")</f>
        <v>553485</v>
      </c>
      <c r="C31" s="200">
        <f>IF(inputPrYr!D98&lt;&gt;0,inputPrYr!D98,"  ")</f>
        <v>3.6850000000000001</v>
      </c>
      <c r="D31" s="50">
        <f>IF('Emp Ben'!$D$34&lt;&gt;0,'Emp Ben'!$D$34,"  ")</f>
        <v>705000</v>
      </c>
      <c r="E31" s="200">
        <f>IF(inputPrYr!F32&lt;&gt;0,inputPrYr!F32,"  ")</f>
        <v>1.411</v>
      </c>
      <c r="F31" s="50">
        <f>IF('Emp Ben'!$E$34&lt;&gt;0,'Emp Ben'!$E$34,"  ")</f>
        <v>718000</v>
      </c>
      <c r="G31" s="50">
        <f>IF('Emp Ben'!$E$41&lt;&gt;0,'Emp Ben'!$E$41,"  ")</f>
        <v>589676</v>
      </c>
      <c r="H31" s="200">
        <f>IF('Emp Ben'!$E$41&lt;&gt;0,ROUND(G31/$F$66*1000,3),"  ")</f>
        <v>3.7210000000000001</v>
      </c>
    </row>
    <row r="32" spans="1:8" x14ac:dyDescent="0.2">
      <c r="A32" s="50" t="str">
        <f>IF((inputPrYr!$B33&gt;" "),(inputPrYr!$B33),"  ")</f>
        <v>Bond &amp; Interest</v>
      </c>
      <c r="B32" s="50" t="str">
        <f>IF('Emp Ben'!$C$74&lt;&gt;0,'Emp Ben'!$C$74,"  ")</f>
        <v xml:space="preserve">  </v>
      </c>
      <c r="C32" s="200" t="str">
        <f>IF(inputPrYr!D99&lt;&gt;0,inputPrYr!D99,"  ")</f>
        <v xml:space="preserve">  </v>
      </c>
      <c r="D32" s="50" t="str">
        <f>IF('Emp Ben'!$D$74&lt;&gt;0,'Emp Ben'!$D$74,"  ")</f>
        <v xml:space="preserve">  </v>
      </c>
      <c r="E32" s="200" t="str">
        <f>IF(inputPrYr!F33&lt;&gt;0,inputPrYr!F33,"  ")</f>
        <v xml:space="preserve">  </v>
      </c>
      <c r="F32" s="50">
        <f>IF('Emp Ben'!$E$74&lt;&gt;0,'Emp Ben'!$E$74,"  ")</f>
        <v>36857</v>
      </c>
      <c r="G32" s="50" t="str">
        <f>IF('Emp Ben'!$E$81&lt;&gt;0,'Emp Ben'!$E$81,"  ")</f>
        <v xml:space="preserve">  </v>
      </c>
      <c r="H32" s="200" t="str">
        <f>IF('Emp Ben'!$E$81&lt;&gt;0,ROUND(G32/$F$66*1000,3),"  ")</f>
        <v xml:space="preserve">  </v>
      </c>
    </row>
    <row r="33" spans="1:13" x14ac:dyDescent="0.2">
      <c r="A33" s="50" t="str">
        <f>IF((inputPrYr!$B36&gt;" "),(inputPrYr!$B36),"  ")</f>
        <v>Capital Improvement</v>
      </c>
      <c r="B33" s="50">
        <f>IF('CPI Div'!$C$33&lt;&gt;0,'CPI Div'!$C$33,"  ")</f>
        <v>11673</v>
      </c>
      <c r="C33" s="200" t="str">
        <f>IF(inputPrYr!D100&lt;&gt;0,inputPrYr!D100,"  ")</f>
        <v xml:space="preserve">  </v>
      </c>
      <c r="D33" s="50">
        <f>IF('CPI Div'!$D$33&lt;&gt;0,'CPI Div'!$D$33,"  ")</f>
        <v>20000</v>
      </c>
      <c r="E33" s="200"/>
      <c r="F33" s="50">
        <f>IF('CPI Div'!$E$33&lt;&gt;0,'CPI Div'!$E$33,"  ")</f>
        <v>186429</v>
      </c>
      <c r="G33" s="50" t="str">
        <f>IF('CPI Div'!$E$40&lt;&gt;0,'CPI Div'!$E$40,"  ")</f>
        <v xml:space="preserve">  </v>
      </c>
      <c r="H33" s="200" t="str">
        <f>IF('CPI Div'!$E$40&lt;&gt;0,ROUND(G33/$F$66*1000,3),"  ")</f>
        <v xml:space="preserve">  </v>
      </c>
    </row>
    <row r="34" spans="1:13" x14ac:dyDescent="0.2">
      <c r="A34" s="50" t="str">
        <f>IF((inputPrYr!$B37&gt;" "),(inputPrYr!$B37),"  ")</f>
        <v>Diversion</v>
      </c>
      <c r="B34" s="50">
        <f>IF('CPI Div'!$C$73&lt;&gt;0,'CPI Div'!$C$73,"  ")</f>
        <v>6743</v>
      </c>
      <c r="C34" s="200" t="str">
        <f>IF(inputPrYr!D101&lt;&gt;0,inputPrYr!D101,"  ")</f>
        <v xml:space="preserve">  </v>
      </c>
      <c r="D34" s="50">
        <f>IF('CPI Div'!$D$73&lt;&gt;0,'CPI Div'!$D$73,"  ")</f>
        <v>50000</v>
      </c>
      <c r="E34" s="200"/>
      <c r="F34" s="50">
        <f>IF('CPI Div'!$E$73&lt;&gt;0,'CPI Div'!$E$73,"  ")</f>
        <v>75000</v>
      </c>
      <c r="G34" s="50" t="str">
        <f>IF('CPI Div'!$E$80&lt;&gt;0,'CPI Div'!$E$80,"  ")</f>
        <v xml:space="preserve">  </v>
      </c>
      <c r="H34" s="200" t="str">
        <f>IF('CPI Div'!$E$80&lt;&gt;0,ROUND(G34/$F$66*1000,3),"  ")</f>
        <v xml:space="preserve">  </v>
      </c>
    </row>
    <row r="35" spans="1:13" x14ac:dyDescent="0.2">
      <c r="A35" s="50" t="str">
        <f>IF((inputPrYr!$B38&gt;" "),(inputPrYr!$B38),"  ")</f>
        <v>Solid Waste</v>
      </c>
      <c r="B35" s="50">
        <f>IF('SW Kit'!$C$33&lt;&gt;0,'SW Kit'!$C$33,"  ")</f>
        <v>15114</v>
      </c>
      <c r="C35" s="200" t="str">
        <f>IF(inputPrYr!D102&lt;&gt;0,inputPrYr!D102,"  ")</f>
        <v xml:space="preserve">  </v>
      </c>
      <c r="D35" s="50">
        <f>IF('SW Kit'!$D$33&lt;&gt;0,'SW Kit'!$D$33,"  ")</f>
        <v>30000</v>
      </c>
      <c r="E35" s="200"/>
      <c r="F35" s="50">
        <f>IF('SW Kit'!$E$33&lt;&gt;0,'SW Kit'!$E$33,"  ")</f>
        <v>400000</v>
      </c>
      <c r="G35" s="50" t="str">
        <f>IF('SW Kit'!$E$40&lt;&gt;0,'SW Kit'!$E$40,"  ")</f>
        <v xml:space="preserve">  </v>
      </c>
      <c r="H35" s="200" t="str">
        <f>IF('SW Kit'!$E$40&lt;&gt;0,ROUND(G35/$F$66*1000,3),"  ")</f>
        <v xml:space="preserve">  </v>
      </c>
    </row>
    <row r="36" spans="1:13" x14ac:dyDescent="0.2">
      <c r="A36" s="50" t="str">
        <f>IF((inputPrYr!$B39&gt;" "),(inputPrYr!$B39),"  ")</f>
        <v>Central Kitchen</v>
      </c>
      <c r="B36" s="50">
        <f>IF('SW Kit'!$C$74&lt;&gt;0,'SW Kit'!$C$74,"  ")</f>
        <v>211824</v>
      </c>
      <c r="C36" s="200" t="str">
        <f>IF(inputPrYr!D103&lt;&gt;0,inputPrYr!D103,"  ")</f>
        <v xml:space="preserve">  </v>
      </c>
      <c r="D36" s="50">
        <f>IF('SW Kit'!$D$74&lt;&gt;0,'SW Kit'!$D$74,"  ")</f>
        <v>228057</v>
      </c>
      <c r="E36" s="200"/>
      <c r="F36" s="50">
        <f>IF('SW Kit'!$E$74&lt;&gt;0,'SW Kit'!$E$74,"  ")</f>
        <v>246000</v>
      </c>
      <c r="G36" s="50" t="str">
        <f>IF('SW Kit'!$E$81&lt;&gt;0,'SW Kit'!$E$81,"  ")</f>
        <v xml:space="preserve">  </v>
      </c>
      <c r="H36" s="200" t="str">
        <f>IF('SW Kit'!$E$81&lt;&gt;0,ROUND(G36/$F$66*1000,3),"  ")</f>
        <v xml:space="preserve">  </v>
      </c>
    </row>
    <row r="37" spans="1:13" x14ac:dyDescent="0.2">
      <c r="A37" s="50" t="str">
        <f>IF((inputPrYr!$B40&gt;" "),(inputPrYr!$B40),"  ")</f>
        <v>Title III</v>
      </c>
      <c r="B37" s="50">
        <f>IF(Title!C33&lt;&gt;0,Title!C33,"  ")</f>
        <v>519414</v>
      </c>
      <c r="C37" s="200" t="str">
        <f>IF(inputPrYr!D104&lt;&gt;0,inputPrYr!D104,"  ")</f>
        <v xml:space="preserve">  </v>
      </c>
      <c r="D37" s="50">
        <f>IF(Title!D33&lt;&gt;0,Title!D33,"  ")</f>
        <v>633000</v>
      </c>
      <c r="E37" s="200"/>
      <c r="F37" s="50">
        <f>IF(Title!E33&lt;&gt;0,Title!E33,"  ")</f>
        <v>701105</v>
      </c>
      <c r="G37" s="50" t="str">
        <f>IF(Title!E40&lt;&gt;0,Title!E40,"  ")</f>
        <v xml:space="preserve">  </v>
      </c>
      <c r="H37" s="200" t="str">
        <f>IF(Title!E40&lt;&gt;0,ROUND(G37/$F$66*1000,3),"  ")</f>
        <v xml:space="preserve">  </v>
      </c>
    </row>
    <row r="38" spans="1:13" x14ac:dyDescent="0.2">
      <c r="A38" s="50" t="str">
        <f>IF((inputPrYr!$B41&gt;" "),(inputPrYr!$B41),"  ")</f>
        <v>Local Alcoholic Liquor</v>
      </c>
      <c r="B38" s="50">
        <f>IF(Title!C74&lt;&gt;0,Title!C74,"  ")</f>
        <v>1000</v>
      </c>
      <c r="C38" s="200" t="str">
        <f>IF(inputPrYr!D105&lt;&gt;0,inputPrYr!D105,"  ")</f>
        <v xml:space="preserve">  </v>
      </c>
      <c r="D38" s="50">
        <f>IF(Title!D74&lt;&gt;0,Title!D74,"  ")</f>
        <v>24200</v>
      </c>
      <c r="E38" s="200"/>
      <c r="F38" s="50">
        <f>IF(Title!E74&lt;&gt;0,Title!E74,"  ")</f>
        <v>24200</v>
      </c>
      <c r="G38" s="50" t="str">
        <f>IF(Title!E81&lt;&gt;0,Title!E81,"  ")</f>
        <v xml:space="preserve">  </v>
      </c>
      <c r="H38" s="200" t="str">
        <f>IF(Title!E81&lt;&gt;0,ROUND(G38/$F$66*1000,3),"  ")</f>
        <v xml:space="preserve">  </v>
      </c>
    </row>
    <row r="39" spans="1:13" x14ac:dyDescent="0.2">
      <c r="A39" s="50" t="str">
        <f>IF((inputPrYr!$B42&gt;" "),(inputPrYr!$B42),"  ")</f>
        <v>New Sales Tax</v>
      </c>
      <c r="B39" s="50">
        <f>IF(' ST Fema'!$C$33&lt;&gt;0,' ST Fema'!$C$33,"  ")</f>
        <v>905735</v>
      </c>
      <c r="C39" s="200" t="str">
        <f>IF(inputPrYr!D106&lt;&gt;0,inputPrYr!D106,"  ")</f>
        <v xml:space="preserve">  </v>
      </c>
      <c r="D39" s="50">
        <f>IF(' ST Fema'!$D$33&lt;&gt;0,' ST Fema'!$D$33,"  ")</f>
        <v>1250000</v>
      </c>
      <c r="E39" s="200"/>
      <c r="F39" s="50">
        <f>IF(' ST Fema'!$E$33&lt;&gt;0,' ST Fema'!$E$33,"  ")</f>
        <v>1400000</v>
      </c>
      <c r="G39" s="50" t="str">
        <f>IF(' ST Fema'!$E$40&lt;&gt;0,' ST Fema'!$E$40,"  ")</f>
        <v xml:space="preserve">  </v>
      </c>
      <c r="H39" s="200" t="str">
        <f>IF(' ST Fema'!$E$40&lt;&gt;0,ROUND(G39/$F$66*1000,3),"  ")</f>
        <v xml:space="preserve">  </v>
      </c>
    </row>
    <row r="40" spans="1:13" x14ac:dyDescent="0.2">
      <c r="A40" s="50"/>
      <c r="B40" s="50"/>
      <c r="C40" s="200"/>
      <c r="D40" s="50"/>
      <c r="E40" s="200"/>
      <c r="F40" s="50"/>
      <c r="G40" s="50"/>
      <c r="H40" s="200"/>
    </row>
    <row r="41" spans="1:13" x14ac:dyDescent="0.2">
      <c r="A41" s="50"/>
      <c r="B41" s="50"/>
      <c r="C41" s="38"/>
      <c r="D41" s="50"/>
      <c r="E41" s="38"/>
      <c r="F41" s="50"/>
      <c r="G41" s="50"/>
      <c r="H41" s="35"/>
    </row>
    <row r="42" spans="1:13" x14ac:dyDescent="0.2">
      <c r="A42" s="50"/>
      <c r="B42" s="50"/>
      <c r="C42" s="38"/>
      <c r="D42" s="50"/>
      <c r="E42" s="38"/>
      <c r="F42" s="50"/>
      <c r="G42" s="50"/>
      <c r="H42" s="35"/>
    </row>
    <row r="43" spans="1:13" x14ac:dyDescent="0.25">
      <c r="A43" s="50"/>
      <c r="B43" s="50"/>
      <c r="C43" s="38"/>
      <c r="D43" s="50"/>
      <c r="E43" s="38"/>
      <c r="F43" s="50"/>
      <c r="G43" s="50"/>
      <c r="H43" s="35"/>
      <c r="J43" s="664" t="str">
        <f>CONCATENATE("Estimated Value Of One Mill For ",H1,"")</f>
        <v>Estimated Value Of One Mill For 2024</v>
      </c>
      <c r="K43" s="670"/>
      <c r="L43" s="670"/>
      <c r="M43" s="671"/>
    </row>
    <row r="44" spans="1:13" x14ac:dyDescent="0.25">
      <c r="A44" s="50"/>
      <c r="B44" s="50" t="str">
        <f>IF(CARES!$C$57&lt;&gt;0,CARES!$C$57,"  ")</f>
        <v xml:space="preserve">  </v>
      </c>
      <c r="C44" s="38"/>
      <c r="D44" s="50" t="str">
        <f>IF(CARES!$D$57&lt;&gt;0,CARES!$D$57,"  ")</f>
        <v xml:space="preserve">  </v>
      </c>
      <c r="E44" s="38"/>
      <c r="F44" s="50" t="str">
        <f>IF(CARES!$E$57&lt;&gt;0,CARES!$E$57,"  ")</f>
        <v xml:space="preserve">  </v>
      </c>
      <c r="G44" s="50"/>
      <c r="H44" s="35"/>
      <c r="J44" s="266"/>
      <c r="K44" s="267"/>
      <c r="L44" s="267"/>
      <c r="M44" s="268"/>
    </row>
    <row r="45" spans="1:13" x14ac:dyDescent="0.25">
      <c r="A45" s="50"/>
      <c r="B45" s="50" t="str">
        <f>IF('No Levy Page 23'!$C$27&lt;&gt;0,'No Levy Page 23'!$C$27,"  ")</f>
        <v xml:space="preserve">  </v>
      </c>
      <c r="C45" s="38"/>
      <c r="D45" s="50" t="str">
        <f>IF('No Levy Page 23'!$D$27&lt;&gt;0,'No Levy Page 23'!$D$27,"  ")</f>
        <v xml:space="preserve">  </v>
      </c>
      <c r="E45" s="38"/>
      <c r="F45" s="50" t="str">
        <f>IF('No Levy Page 23'!$E$27&lt;&gt;0,'No Levy Page 23'!$E$27,"  ")</f>
        <v xml:space="preserve">  </v>
      </c>
      <c r="G45" s="50"/>
      <c r="H45" s="35"/>
      <c r="J45" s="269" t="s">
        <v>286</v>
      </c>
      <c r="K45" s="270"/>
      <c r="L45" s="270"/>
      <c r="M45" s="271">
        <f>ROUND(F66/1000,0)</f>
        <v>158485</v>
      </c>
    </row>
    <row r="46" spans="1:13" x14ac:dyDescent="0.2">
      <c r="A46" s="50"/>
      <c r="B46" s="50" t="str">
        <f>IF('No Levy Page 23'!$C$56&lt;&gt;0,'No Levy Page 23'!$C$56,"  ")</f>
        <v xml:space="preserve">  </v>
      </c>
      <c r="C46" s="38"/>
      <c r="D46" s="50" t="str">
        <f>IF('No Levy Page 23'!$D$56&lt;&gt;0,'No Levy Page 23'!$D$56,"  ")</f>
        <v xml:space="preserve">  </v>
      </c>
      <c r="E46" s="38"/>
      <c r="F46" s="50" t="str">
        <f>IF('No Levy Page 23'!$E$56&lt;&gt;0,'No Levy Page 23'!$E$56,"  ")</f>
        <v xml:space="preserve">  </v>
      </c>
      <c r="G46" s="50"/>
      <c r="H46" s="35"/>
    </row>
    <row r="47" spans="1:13" x14ac:dyDescent="0.25">
      <c r="A47" s="50"/>
      <c r="B47" s="50" t="str">
        <f>IF('No Levy Page 24'!$C$27&lt;&gt;0,'No Levy Page 24'!$C$27,"  ")</f>
        <v xml:space="preserve">  </v>
      </c>
      <c r="C47" s="38"/>
      <c r="D47" s="50" t="str">
        <f>IF('No Levy Page 24'!$D$27&lt;&gt;0,'No Levy Page 24'!$D$27,"  ")</f>
        <v xml:space="preserve">  </v>
      </c>
      <c r="E47" s="38"/>
      <c r="F47" s="50" t="str">
        <f>IF('No Levy Page 24'!$E$27&lt;&gt;0,'No Levy Page 24'!$E$27,"  ")</f>
        <v xml:space="preserve">  </v>
      </c>
      <c r="G47" s="50"/>
      <c r="H47" s="35"/>
      <c r="J47" s="664" t="str">
        <f>CONCATENATE("Want The Mill Rate The Same As For ",H1-1,"?")</f>
        <v>Want The Mill Rate The Same As For 2023?</v>
      </c>
      <c r="K47" s="670"/>
      <c r="L47" s="670"/>
      <c r="M47" s="671"/>
    </row>
    <row r="48" spans="1:13" x14ac:dyDescent="0.25">
      <c r="A48" s="50"/>
      <c r="B48" s="50" t="str">
        <f>IF('No Levy Page 24'!$C$56&lt;&gt;0,'No Levy Page 24'!$C$56,"  ")</f>
        <v xml:space="preserve">  </v>
      </c>
      <c r="C48" s="38"/>
      <c r="D48" s="50" t="str">
        <f>IF('No Levy Page 24'!$D$56&lt;&gt;0,'No Levy Page 24'!$D$56,"  ")</f>
        <v xml:space="preserve">  </v>
      </c>
      <c r="E48" s="38"/>
      <c r="F48" s="50" t="str">
        <f>IF('No Levy Page 24'!$E$56&lt;&gt;0,'No Levy Page 24'!$E$56,"  ")</f>
        <v xml:space="preserve">  </v>
      </c>
      <c r="G48" s="50"/>
      <c r="H48" s="35"/>
      <c r="J48" s="273"/>
      <c r="K48" s="267"/>
      <c r="L48" s="267"/>
      <c r="M48" s="274"/>
    </row>
    <row r="49" spans="1:13" x14ac:dyDescent="0.25">
      <c r="A49" s="50"/>
      <c r="B49" s="50" t="str">
        <f>IF('No Lvey Pg 25'!$C$27&lt;&gt;0,'No Lvey Pg 25'!$C$27,"  ")</f>
        <v xml:space="preserve">  </v>
      </c>
      <c r="C49" s="38"/>
      <c r="D49" s="50" t="str">
        <f>IF('No Lvey Pg 25'!$D$27&lt;&gt;0,'No Lvey Pg 25'!$D$27,"  ")</f>
        <v xml:space="preserve">  </v>
      </c>
      <c r="E49" s="38"/>
      <c r="F49" s="50" t="str">
        <f>IF('No Lvey Pg 25'!$E$27&lt;&gt;0,'No Lvey Pg 25'!$E$27,"  ")</f>
        <v xml:space="preserve">  </v>
      </c>
      <c r="G49" s="50"/>
      <c r="H49" s="35"/>
      <c r="J49" s="273" t="str">
        <f>CONCATENATE("",H1-1," Mill Rate Was:")</f>
        <v>2023 Mill Rate Was:</v>
      </c>
      <c r="K49" s="267"/>
      <c r="L49" s="267"/>
      <c r="M49" s="275">
        <f>E61</f>
        <v>36.946999999999996</v>
      </c>
    </row>
    <row r="50" spans="1:13" x14ac:dyDescent="0.25">
      <c r="A50" s="50"/>
      <c r="B50" s="50" t="str">
        <f>IF('No Lvey Pg 25'!$C$57&lt;&gt;0,'No Lvey Pg 25'!$C$57,"  ")</f>
        <v xml:space="preserve">  </v>
      </c>
      <c r="C50" s="38"/>
      <c r="D50" s="50" t="str">
        <f>IF('No Lvey Pg 25'!$D$57&lt;&gt;0,'No Lvey Pg 25'!$D$57,"  ")</f>
        <v xml:space="preserve">  </v>
      </c>
      <c r="E50" s="38"/>
      <c r="F50" s="50" t="str">
        <f>IF('No Lvey Pg 25'!$E$57&lt;&gt;0,'No Lvey Pg 25'!$E$57,"  ")</f>
        <v xml:space="preserve">  </v>
      </c>
      <c r="G50" s="50"/>
      <c r="H50" s="35"/>
      <c r="J50" s="276" t="str">
        <f>CONCATENATE("",H1," Tax Levy Fund Expenditures Must Be")</f>
        <v>2024 Tax Levy Fund Expenditures Must Be</v>
      </c>
      <c r="K50" s="277"/>
      <c r="L50" s="277"/>
      <c r="M50" s="274"/>
    </row>
    <row r="51" spans="1:13" x14ac:dyDescent="0.25">
      <c r="A51" s="50"/>
      <c r="B51" s="50" t="str">
        <f>IF('No Lvey Pg 26'!$C$27&lt;&gt;0,'No Lvey Pg 26'!$C$27,"  ")</f>
        <v xml:space="preserve">  </v>
      </c>
      <c r="C51" s="38"/>
      <c r="D51" s="50" t="str">
        <f>IF('No Lvey Pg 26'!$D$27&lt;&gt;0,'No Lvey Pg 26'!$D$27,"  ")</f>
        <v xml:space="preserve">  </v>
      </c>
      <c r="E51" s="38"/>
      <c r="F51" s="50" t="str">
        <f>IF('No Lvey Pg 26'!$E$27&lt;&gt;0,'No Lvey Pg 26'!$E$27,"  ")</f>
        <v xml:space="preserve">  </v>
      </c>
      <c r="G51" s="50"/>
      <c r="H51" s="35"/>
      <c r="J51" s="276" t="str">
        <f>IF(M51&gt;0,"Increased By:","")</f>
        <v>Increased By:</v>
      </c>
      <c r="K51" s="277"/>
      <c r="L51" s="277"/>
      <c r="M51" s="284">
        <f>IF(M58&lt;0,M58*-1,0)</f>
        <v>4942.4456000002101</v>
      </c>
    </row>
    <row r="52" spans="1:13" x14ac:dyDescent="0.2">
      <c r="A52" s="50"/>
      <c r="B52" s="50" t="str">
        <f>IF('No Lvey Pg 26'!$C$57&lt;&gt;0,'No Lvey Pg 26'!$C$57,"  ")</f>
        <v xml:space="preserve">  </v>
      </c>
      <c r="C52" s="38"/>
      <c r="D52" s="50" t="str">
        <f>IF('No Lvey Pg 26'!$D$57&lt;&gt;0,'No Lvey Pg 26'!$D$57,"  ")</f>
        <v xml:space="preserve">  </v>
      </c>
      <c r="E52" s="38"/>
      <c r="F52" s="50" t="str">
        <f>IF('No Lvey Pg 26'!$E$57&lt;&gt;0,'No Lvey Pg 26'!$E$57,"  ")</f>
        <v xml:space="preserve">  </v>
      </c>
      <c r="G52" s="50"/>
      <c r="H52" s="35"/>
      <c r="J52" s="285" t="str">
        <f>IF(M52&lt;0,"Reduced By:","")</f>
        <v/>
      </c>
      <c r="K52" s="286"/>
      <c r="L52" s="286"/>
      <c r="M52" s="287">
        <f>IF(M58&gt;0,M58*-1,0)</f>
        <v>0</v>
      </c>
    </row>
    <row r="53" spans="1:13" x14ac:dyDescent="0.25">
      <c r="A53" s="50"/>
      <c r="B53" s="50" t="str">
        <f>IF('No Levy Page 27'!$C$27&lt;&gt;0,'No Levy Page 27'!$C$27,"  ")</f>
        <v xml:space="preserve">  </v>
      </c>
      <c r="C53" s="38"/>
      <c r="D53" s="50" t="str">
        <f>IF('No Levy Page 27'!$D$27&lt;&gt;0,'No Levy Page 27'!$D$27,"  ")</f>
        <v xml:space="preserve">  </v>
      </c>
      <c r="E53" s="38"/>
      <c r="F53" s="50" t="str">
        <f>IF('No Levy Page 27'!$E$27&lt;&gt;0,'No Levy Page 27'!$E$27,"  ")</f>
        <v xml:space="preserve">  </v>
      </c>
      <c r="G53" s="50"/>
      <c r="H53" s="35"/>
      <c r="J53" s="272"/>
      <c r="K53" s="272"/>
      <c r="L53" s="272"/>
      <c r="M53" s="272"/>
    </row>
    <row r="54" spans="1:13" x14ac:dyDescent="0.25">
      <c r="A54" s="50"/>
      <c r="B54" s="50" t="str">
        <f>IF('No Levy Page 27'!$C$57&lt;&gt;0,'No Levy Page 27'!$C$57,"  ")</f>
        <v xml:space="preserve">  </v>
      </c>
      <c r="C54" s="38"/>
      <c r="D54" s="50" t="str">
        <f>IF('No Levy Page 27'!$D$57&lt;&gt;0,'No Levy Page 27'!$D$57,"  ")</f>
        <v xml:space="preserve">  </v>
      </c>
      <c r="E54" s="38"/>
      <c r="F54" s="50" t="str">
        <f>IF('No Levy Page 27'!$E$57&lt;&gt;0,'No Levy Page 27'!$E$57,"  ")</f>
        <v xml:space="preserve">  </v>
      </c>
      <c r="G54" s="50"/>
      <c r="H54" s="35"/>
      <c r="J54" s="664" t="str">
        <f>CONCATENATE("Impact On Keeping The Same Mill Rate As For ",H1-1,"")</f>
        <v>Impact On Keeping The Same Mill Rate As For 2023</v>
      </c>
      <c r="K54" s="665"/>
      <c r="L54" s="665"/>
      <c r="M54" s="666"/>
    </row>
    <row r="55" spans="1:13" x14ac:dyDescent="0.25">
      <c r="A55" s="50"/>
      <c r="B55" s="50" t="str">
        <f>IF('No Levy Page 28'!$C$27&lt;&gt;0,'No Levy Page 28'!$C$27,"  ")</f>
        <v xml:space="preserve">  </v>
      </c>
      <c r="C55" s="38"/>
      <c r="D55" s="50" t="str">
        <f>IF('No Levy Page 28'!$D$27&lt;&gt;0,'No Levy Page 28'!$D$27,"  ")</f>
        <v xml:space="preserve">  </v>
      </c>
      <c r="E55" s="38"/>
      <c r="F55" s="50" t="str">
        <f>IF('No Levy Page 28'!$E$27&lt;&gt;0,'No Levy Page 28'!$E$27,"  ")</f>
        <v xml:space="preserve">  </v>
      </c>
      <c r="G55" s="50"/>
      <c r="H55" s="35"/>
      <c r="J55" s="273"/>
      <c r="K55" s="267"/>
      <c r="L55" s="267"/>
      <c r="M55" s="274"/>
    </row>
    <row r="56" spans="1:13" x14ac:dyDescent="0.25">
      <c r="A56" s="50" t="str">
        <f>IF((inputPrYr!$B51&gt;" "),(inputPrYr!$B51),"  ")</f>
        <v xml:space="preserve">  </v>
      </c>
      <c r="B56" s="50" t="str">
        <f>IF('No Levy Page 28'!$C$57&lt;&gt;0,'No Levy Page 28'!$C$57,"  ")</f>
        <v xml:space="preserve">  </v>
      </c>
      <c r="C56" s="38"/>
      <c r="D56" s="50" t="str">
        <f>IF('No Levy Page 28'!$D$57&lt;&gt;0,'No Levy Page 28'!$D$57,"  ")</f>
        <v xml:space="preserve">  </v>
      </c>
      <c r="E56" s="38"/>
      <c r="F56" s="50" t="str">
        <f>IF('No Levy Page 28'!$E$57&lt;&gt;0,'No Levy Page 28'!$E$57,"  ")</f>
        <v xml:space="preserve">  </v>
      </c>
      <c r="G56" s="50"/>
      <c r="H56" s="35"/>
      <c r="J56" s="273" t="str">
        <f>CONCATENATE("",H1," Ad Valorem Tax Revenue:")</f>
        <v>2024 Ad Valorem Tax Revenue:</v>
      </c>
      <c r="K56" s="267"/>
      <c r="L56" s="267"/>
      <c r="M56" s="268">
        <f>G61</f>
        <v>5850610.5543999998</v>
      </c>
    </row>
    <row r="57" spans="1:13" x14ac:dyDescent="0.25">
      <c r="A57" s="76" t="str">
        <f>IF((inputPrYr!$B55&gt;"  "),('Non-Budgeted Funds A'!$A3),"  ")</f>
        <v xml:space="preserve">  </v>
      </c>
      <c r="B57" s="50" t="str">
        <f>IF('Non-Budgeted Funds A'!$K$28&lt;&gt;0,'Non-Budgeted Funds A'!$K$28,"  ")</f>
        <v xml:space="preserve">  </v>
      </c>
      <c r="C57" s="38"/>
      <c r="D57" s="50"/>
      <c r="E57" s="38"/>
      <c r="F57" s="50"/>
      <c r="G57" s="50"/>
      <c r="H57" s="35"/>
      <c r="J57" s="273" t="str">
        <f>CONCATENATE("",H1-1," Ad Valorem Tax Revenue:")</f>
        <v>2023 Ad Valorem Tax Revenue:</v>
      </c>
      <c r="K57" s="267"/>
      <c r="L57" s="267"/>
      <c r="M57" s="280">
        <f>ROUND(F66*M49/1000,0)</f>
        <v>5855553</v>
      </c>
    </row>
    <row r="58" spans="1:13" x14ac:dyDescent="0.25">
      <c r="A58" s="76" t="str">
        <f>IF((inputPrYr!$B61&gt;"  "),('Non-Budgeted Funds B'!$A3),"  ")</f>
        <v xml:space="preserve">  </v>
      </c>
      <c r="B58" s="50" t="str">
        <f>IF('Non-Budgeted Funds B'!$K$28&lt;&gt;0,'Non-Budgeted Funds B'!$K$28,"  ")</f>
        <v xml:space="preserve">  </v>
      </c>
      <c r="C58" s="38"/>
      <c r="D58" s="50"/>
      <c r="E58" s="38"/>
      <c r="F58" s="50"/>
      <c r="G58" s="50"/>
      <c r="H58" s="35"/>
      <c r="J58" s="278" t="s">
        <v>287</v>
      </c>
      <c r="K58" s="279"/>
      <c r="L58" s="279"/>
      <c r="M58" s="271">
        <f>SUM(M56-M57)</f>
        <v>-4942.4456000002101</v>
      </c>
    </row>
    <row r="59" spans="1:13" x14ac:dyDescent="0.25">
      <c r="A59" s="76" t="str">
        <f>IF((inputPrYr!$B67&gt;"  "),('Non-Budgeted Funds C'!$A3),"  ")</f>
        <v xml:space="preserve">  </v>
      </c>
      <c r="B59" s="50" t="str">
        <f>IF('Non-Budgeted Funds C'!$K$28&lt;&gt;0,'Non-Budgeted Funds C'!$K$28,"  ")</f>
        <v xml:space="preserve">  </v>
      </c>
      <c r="C59" s="38"/>
      <c r="D59" s="50"/>
      <c r="E59" s="38"/>
      <c r="F59" s="50"/>
      <c r="G59" s="50"/>
      <c r="H59" s="35"/>
      <c r="J59" s="272"/>
      <c r="K59" s="272"/>
      <c r="L59" s="272"/>
      <c r="M59" s="272"/>
    </row>
    <row r="60" spans="1:13" x14ac:dyDescent="0.25">
      <c r="A60" s="496" t="str">
        <f>IF((inputPrYr!$B73&gt;"  "),('Non-Budgeted Funds D'!$A3),"  ")</f>
        <v xml:space="preserve">  </v>
      </c>
      <c r="B60" s="497" t="str">
        <f>IF('Non-Budgeted Funds D'!$K$28&lt;&gt;0,'Non-Budgeted Funds D'!$K$28,"  ")</f>
        <v xml:space="preserve">  </v>
      </c>
      <c r="C60" s="127"/>
      <c r="D60" s="497"/>
      <c r="E60" s="127"/>
      <c r="F60" s="497"/>
      <c r="G60" s="497"/>
      <c r="H60" s="498"/>
      <c r="J60" s="664" t="s">
        <v>288</v>
      </c>
      <c r="K60" s="667"/>
      <c r="L60" s="667"/>
      <c r="M60" s="668"/>
    </row>
    <row r="61" spans="1:13" ht="16.5" thickBot="1" x14ac:dyDescent="0.3">
      <c r="A61" s="500" t="s">
        <v>77</v>
      </c>
      <c r="B61" s="203">
        <f>SUM(B16:B60)</f>
        <v>10127413</v>
      </c>
      <c r="C61" s="501">
        <f>SUM(C16:C40)</f>
        <v>38.504999999999995</v>
      </c>
      <c r="D61" s="203">
        <f>SUM(D16:D60)</f>
        <v>11973894</v>
      </c>
      <c r="E61" s="501">
        <f>SUM(E16:E31)</f>
        <v>36.946999999999996</v>
      </c>
      <c r="F61" s="203">
        <f>SUM(F16:F60)</f>
        <v>13838762</v>
      </c>
      <c r="G61" s="502">
        <f>SUM(G16:G60)</f>
        <v>5850610.5543999998</v>
      </c>
      <c r="H61" s="501">
        <f>SUM(H16:H40)</f>
        <v>36.917000000000002</v>
      </c>
      <c r="J61" s="273"/>
      <c r="K61" s="267"/>
      <c r="L61" s="267"/>
      <c r="M61" s="274"/>
    </row>
    <row r="62" spans="1:13" ht="16.5" thickTop="1" x14ac:dyDescent="0.25">
      <c r="A62" s="678" t="s">
        <v>358</v>
      </c>
      <c r="B62" s="679"/>
      <c r="C62" s="679"/>
      <c r="D62" s="679"/>
      <c r="E62" s="679"/>
      <c r="F62" s="679"/>
      <c r="G62" s="680"/>
      <c r="H62" s="499">
        <f>inputOth!E15</f>
        <v>36.917000000000002</v>
      </c>
      <c r="J62" s="273" t="str">
        <f>CONCATENATE("Current ",H1," Estimated Mill Rate:")</f>
        <v>Current 2024 Estimated Mill Rate:</v>
      </c>
      <c r="K62" s="267"/>
      <c r="L62" s="267"/>
      <c r="M62" s="275">
        <f>H61</f>
        <v>36.917000000000002</v>
      </c>
    </row>
    <row r="63" spans="1:13" x14ac:dyDescent="0.25">
      <c r="A63" s="25" t="s">
        <v>135</v>
      </c>
      <c r="B63" s="421">
        <f>Transfers!C27</f>
        <v>431437</v>
      </c>
      <c r="C63" s="201"/>
      <c r="D63" s="421">
        <f>Transfers!D27</f>
        <v>530200</v>
      </c>
      <c r="E63" s="161"/>
      <c r="F63" s="421">
        <f>Transfers!E27</f>
        <v>765098</v>
      </c>
      <c r="G63" s="26"/>
      <c r="H63" s="26"/>
      <c r="J63" s="273" t="str">
        <f>CONCATENATE("Desired ",H1," Mill Rate:")</f>
        <v>Desired 2024 Mill Rate:</v>
      </c>
      <c r="K63" s="267"/>
      <c r="L63" s="267"/>
      <c r="M63" s="281">
        <v>45</v>
      </c>
    </row>
    <row r="64" spans="1:13" ht="16.5" thickBot="1" x14ac:dyDescent="0.3">
      <c r="A64" s="25" t="s">
        <v>136</v>
      </c>
      <c r="B64" s="203">
        <f>B61-B63</f>
        <v>9695976</v>
      </c>
      <c r="C64" s="26"/>
      <c r="D64" s="203">
        <f>D61-D63</f>
        <v>11443694</v>
      </c>
      <c r="E64" s="201"/>
      <c r="F64" s="203">
        <f>F61-F63</f>
        <v>13073664</v>
      </c>
      <c r="G64" s="26"/>
      <c r="H64" s="26"/>
      <c r="J64" s="273" t="str">
        <f>CONCATENATE("",H1," Ad Valorem Tax:")</f>
        <v>2024 Ad Valorem Tax:</v>
      </c>
      <c r="K64" s="267"/>
      <c r="L64" s="267"/>
      <c r="M64" s="280">
        <f>ROUND(F66*M63/1000,0)</f>
        <v>7131835</v>
      </c>
    </row>
    <row r="65" spans="1:13" ht="16.5" thickTop="1" x14ac:dyDescent="0.25">
      <c r="A65" s="25" t="s">
        <v>137</v>
      </c>
      <c r="B65" s="72">
        <f>inputPrYr!F110</f>
        <v>5850155</v>
      </c>
      <c r="C65" s="26"/>
      <c r="D65" s="72">
        <f>inputPrYr!E34</f>
        <v>5850686</v>
      </c>
      <c r="E65" s="26"/>
      <c r="F65" s="264" t="s">
        <v>33</v>
      </c>
      <c r="G65" s="26"/>
      <c r="H65" s="26"/>
      <c r="J65" s="278" t="str">
        <f>CONCATENATE("",H1," Tax Levy Fund Exp. Changed By:")</f>
        <v>2024 Tax Levy Fund Exp. Changed By:</v>
      </c>
      <c r="K65" s="279"/>
      <c r="L65" s="279"/>
      <c r="M65" s="271">
        <f>IF(M63=0,0,(M64-G61))</f>
        <v>1281224.4456000002</v>
      </c>
    </row>
    <row r="66" spans="1:13" x14ac:dyDescent="0.2">
      <c r="A66" s="25" t="s">
        <v>138</v>
      </c>
      <c r="B66" s="50">
        <f>inputPrYr!F111</f>
        <v>151940521</v>
      </c>
      <c r="C66" s="26"/>
      <c r="D66" s="50">
        <f>inputPrYr!F78</f>
        <v>158358266</v>
      </c>
      <c r="E66" s="26"/>
      <c r="F66" s="50">
        <f>inputOth!E6</f>
        <v>158485220</v>
      </c>
      <c r="G66" s="26"/>
      <c r="H66" s="26"/>
    </row>
    <row r="67" spans="1:13" x14ac:dyDescent="0.2">
      <c r="A67" s="26"/>
      <c r="B67" s="26"/>
      <c r="C67" s="26"/>
      <c r="D67" s="26"/>
      <c r="E67" s="26"/>
      <c r="F67" s="26"/>
      <c r="G67" s="26"/>
      <c r="H67" s="26"/>
      <c r="J67" s="672" t="s">
        <v>534</v>
      </c>
      <c r="K67" s="673"/>
      <c r="L67" s="673"/>
      <c r="M67" s="676" t="str">
        <f>IF(H61&gt;H62, "Yes", "No")</f>
        <v>No</v>
      </c>
    </row>
    <row r="68" spans="1:13" x14ac:dyDescent="0.2">
      <c r="A68" s="25" t="s">
        <v>139</v>
      </c>
      <c r="B68" s="26"/>
      <c r="C68" s="26"/>
      <c r="D68" s="26"/>
      <c r="E68" s="26"/>
      <c r="F68" s="26"/>
      <c r="G68" s="26"/>
      <c r="H68" s="53"/>
      <c r="J68" s="674"/>
      <c r="K68" s="675"/>
      <c r="L68" s="675"/>
      <c r="M68" s="677"/>
    </row>
    <row r="69" spans="1:13" x14ac:dyDescent="0.2">
      <c r="A69" s="25" t="s">
        <v>140</v>
      </c>
      <c r="B69" s="202">
        <f>H1-3</f>
        <v>2021</v>
      </c>
      <c r="C69" s="26"/>
      <c r="D69" s="202">
        <f>H1-2</f>
        <v>2022</v>
      </c>
      <c r="E69" s="26"/>
      <c r="F69" s="202">
        <f>H1-1</f>
        <v>2023</v>
      </c>
      <c r="G69" s="26"/>
      <c r="H69" s="53"/>
      <c r="J69" s="645" t="str">
        <f>IF(M67="Yes", "Follow procedure prescirbed by KSA 79-2988 to exceed the Revenue Neutral Rate.", " ")</f>
        <v xml:space="preserve"> </v>
      </c>
      <c r="K69" s="645"/>
      <c r="L69" s="645"/>
      <c r="M69" s="645"/>
    </row>
    <row r="70" spans="1:13" x14ac:dyDescent="0.2">
      <c r="A70" s="25" t="s">
        <v>141</v>
      </c>
      <c r="B70" s="50">
        <f>inputPrYr!D115</f>
        <v>0</v>
      </c>
      <c r="C70" s="26"/>
      <c r="D70" s="50">
        <f>inputPrYr!E115</f>
        <v>0</v>
      </c>
      <c r="E70" s="26"/>
      <c r="F70" s="50">
        <f>Debt!F19</f>
        <v>0</v>
      </c>
      <c r="G70" s="26"/>
      <c r="H70" s="53"/>
      <c r="J70" s="646"/>
      <c r="K70" s="646"/>
      <c r="L70" s="646"/>
      <c r="M70" s="646"/>
    </row>
    <row r="71" spans="1:13" x14ac:dyDescent="0.2">
      <c r="A71" s="25" t="s">
        <v>142</v>
      </c>
      <c r="B71" s="50">
        <f>inputPrYr!D116</f>
        <v>0</v>
      </c>
      <c r="C71" s="26"/>
      <c r="D71" s="50">
        <f>inputPrYr!E116</f>
        <v>0</v>
      </c>
      <c r="E71" s="26"/>
      <c r="F71" s="50">
        <f>Debt!F27</f>
        <v>0</v>
      </c>
      <c r="G71" s="26"/>
      <c r="H71" s="53"/>
      <c r="J71" s="646"/>
      <c r="K71" s="646"/>
      <c r="L71" s="646"/>
      <c r="M71" s="646"/>
    </row>
    <row r="72" spans="1:13" x14ac:dyDescent="0.2">
      <c r="A72" s="25" t="s">
        <v>132</v>
      </c>
      <c r="B72" s="50">
        <f>inputPrYr!D117</f>
        <v>0</v>
      </c>
      <c r="C72" s="26"/>
      <c r="D72" s="50">
        <f>inputPrYr!E117</f>
        <v>0</v>
      </c>
      <c r="E72" s="26"/>
      <c r="F72" s="50">
        <f>Debt!F36</f>
        <v>0</v>
      </c>
      <c r="G72" s="26"/>
      <c r="H72" s="53"/>
    </row>
    <row r="73" spans="1:13" x14ac:dyDescent="0.2">
      <c r="A73" s="25" t="s">
        <v>189</v>
      </c>
      <c r="B73" s="50">
        <f>inputPrYr!D118</f>
        <v>0</v>
      </c>
      <c r="C73" s="26"/>
      <c r="D73" s="50">
        <f>inputPrYr!E118</f>
        <v>0</v>
      </c>
      <c r="E73" s="26"/>
      <c r="F73" s="50">
        <f>'LP Form'!F37</f>
        <v>0</v>
      </c>
      <c r="G73" s="26"/>
      <c r="H73" s="53"/>
    </row>
    <row r="74" spans="1:13" ht="16.5" customHeight="1" thickBot="1" x14ac:dyDescent="0.25">
      <c r="A74" s="25" t="s">
        <v>143</v>
      </c>
      <c r="B74" s="203">
        <f>SUM(B70:B73)</f>
        <v>0</v>
      </c>
      <c r="C74" s="26"/>
      <c r="D74" s="203">
        <f>SUM(D70:D73)</f>
        <v>0</v>
      </c>
      <c r="E74" s="26"/>
      <c r="F74" s="203">
        <f>SUM(F70:F73)</f>
        <v>0</v>
      </c>
      <c r="G74" s="26"/>
      <c r="H74" s="53"/>
    </row>
    <row r="75" spans="1:13" ht="16.5" customHeight="1" thickTop="1" x14ac:dyDescent="0.2">
      <c r="A75" s="25"/>
      <c r="B75" s="57"/>
      <c r="C75" s="26"/>
      <c r="D75" s="57"/>
      <c r="E75" s="26"/>
      <c r="F75" s="57"/>
      <c r="G75" s="26"/>
      <c r="H75" s="53"/>
    </row>
    <row r="76" spans="1:13" ht="16.5" customHeight="1" x14ac:dyDescent="0.2">
      <c r="A76" s="25" t="s">
        <v>144</v>
      </c>
      <c r="B76" s="26"/>
      <c r="C76" s="26"/>
      <c r="D76" s="26"/>
      <c r="E76" s="26"/>
      <c r="F76" s="26"/>
      <c r="G76" s="26"/>
      <c r="H76" s="53"/>
    </row>
    <row r="77" spans="1:13" x14ac:dyDescent="0.2">
      <c r="A77" s="425" t="s">
        <v>535</v>
      </c>
      <c r="B77" s="26"/>
      <c r="C77" s="26"/>
      <c r="D77" s="26"/>
      <c r="E77" s="26"/>
      <c r="F77" s="26"/>
      <c r="G77" s="26"/>
      <c r="H77" s="53"/>
    </row>
    <row r="78" spans="1:13" x14ac:dyDescent="0.2">
      <c r="A78" s="26"/>
      <c r="B78" s="26"/>
      <c r="C78" s="26"/>
      <c r="D78" s="26"/>
      <c r="E78" s="26"/>
      <c r="F78" s="26"/>
      <c r="G78" s="26"/>
      <c r="H78" s="53"/>
    </row>
    <row r="79" spans="1:13" x14ac:dyDescent="0.2">
      <c r="A79" s="669" t="str">
        <f>inputHearing!B14</f>
        <v>Wayne Grable</v>
      </c>
      <c r="B79" s="669"/>
      <c r="C79" s="26"/>
      <c r="D79" s="26"/>
      <c r="E79" s="26"/>
      <c r="F79" s="26"/>
      <c r="G79" s="26"/>
      <c r="H79" s="53"/>
    </row>
    <row r="80" spans="1:13" x14ac:dyDescent="0.2">
      <c r="A80" s="686" t="str">
        <f>inputHearing!B16</f>
        <v>Chairman</v>
      </c>
      <c r="B80" s="686"/>
      <c r="C80" s="26"/>
      <c r="D80" s="26"/>
      <c r="E80" s="26"/>
      <c r="F80" s="26"/>
      <c r="G80" s="26"/>
      <c r="H80" s="53"/>
    </row>
    <row r="81" spans="1:8" x14ac:dyDescent="0.2">
      <c r="A81" s="26"/>
      <c r="B81" s="26"/>
      <c r="C81" s="26"/>
      <c r="D81" s="125" t="s">
        <v>90</v>
      </c>
      <c r="E81" s="362"/>
      <c r="F81" s="26"/>
      <c r="G81" s="26"/>
      <c r="H81" s="53"/>
    </row>
    <row r="82" spans="1:8" x14ac:dyDescent="0.2">
      <c r="A82" s="56"/>
      <c r="D82" s="56"/>
      <c r="E82" s="56"/>
      <c r="F82" s="56"/>
      <c r="G82" s="56"/>
      <c r="H82" s="56"/>
    </row>
  </sheetData>
  <sheetProtection selectLockedCells="1" selectUnlockedCells="1"/>
  <mergeCells count="29">
    <mergeCell ref="A80:B80"/>
    <mergeCell ref="B14:B15"/>
    <mergeCell ref="C14:C15"/>
    <mergeCell ref="E14:E15"/>
    <mergeCell ref="D14:D15"/>
    <mergeCell ref="A11:H11"/>
    <mergeCell ref="A7:H7"/>
    <mergeCell ref="A8:H8"/>
    <mergeCell ref="A9:H9"/>
    <mergeCell ref="B13:C13"/>
    <mergeCell ref="D13:E13"/>
    <mergeCell ref="F13:H13"/>
    <mergeCell ref="A2:H2"/>
    <mergeCell ref="A4:H4"/>
    <mergeCell ref="A5:H5"/>
    <mergeCell ref="A6:H6"/>
    <mergeCell ref="A10:H10"/>
    <mergeCell ref="J54:M54"/>
    <mergeCell ref="J60:M60"/>
    <mergeCell ref="A79:B79"/>
    <mergeCell ref="G14:G15"/>
    <mergeCell ref="J43:M43"/>
    <mergeCell ref="J47:M47"/>
    <mergeCell ref="J67:L68"/>
    <mergeCell ref="M67:M68"/>
    <mergeCell ref="J69:M71"/>
    <mergeCell ref="A62:G62"/>
    <mergeCell ref="H14:H15"/>
    <mergeCell ref="F14:F15"/>
  </mergeCells>
  <phoneticPr fontId="0" type="noConversion"/>
  <conditionalFormatting sqref="M67:M68">
    <cfRule type="containsText" dxfId="3" priority="1" operator="containsText" text="Yes">
      <formula>NOT(ISERROR(SEARCH("Yes",M67)))</formula>
    </cfRule>
  </conditionalFormatting>
  <pageMargins left="1.1200000000000001" right="0.5" top="0.74" bottom="0.34" header="0.5" footer="0"/>
  <pageSetup scale="55" orientation="portrait" blackAndWhite="1" r:id="rId1"/>
  <headerFooter alignWithMargins="0">
    <oddHeader xml:space="preserve">&amp;RState of Kansas
County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pageSetUpPr fitToPage="1"/>
  </sheetPr>
  <dimension ref="A1:K57"/>
  <sheetViews>
    <sheetView zoomScale="75" workbookViewId="0">
      <selection activeCell="B15" sqref="B15"/>
    </sheetView>
  </sheetViews>
  <sheetFormatPr defaultRowHeight="15.75" x14ac:dyDescent="0.25"/>
  <cols>
    <col min="1" max="1" width="21.88671875" style="2" customWidth="1"/>
    <col min="2" max="2" width="12.77734375" style="2" customWidth="1"/>
    <col min="3" max="3" width="10.33203125" style="2" customWidth="1"/>
    <col min="4" max="4" width="12.88671875" style="2" customWidth="1"/>
    <col min="5" max="5" width="10.21875" style="2" customWidth="1"/>
    <col min="6" max="6" width="15" style="2" customWidth="1"/>
    <col min="7" max="7" width="12.77734375" style="2" customWidth="1"/>
    <col min="8" max="8" width="15.33203125" style="2" customWidth="1"/>
    <col min="9" max="9" width="9.77734375" style="2" customWidth="1"/>
    <col min="10" max="10" width="12.44140625" style="2" customWidth="1"/>
    <col min="11" max="16384" width="8.88671875" style="2"/>
  </cols>
  <sheetData>
    <row r="1" spans="1:11" x14ac:dyDescent="0.25">
      <c r="A1" s="15" t="str">
        <f>inputPrYr!C3</f>
        <v>Doniphan County</v>
      </c>
      <c r="B1" s="9"/>
      <c r="C1" s="9"/>
      <c r="D1" s="9"/>
      <c r="E1" s="9"/>
      <c r="F1" s="9"/>
      <c r="G1" s="9"/>
      <c r="H1" s="9"/>
      <c r="I1" s="9"/>
      <c r="J1" s="17">
        <f>inputPrYr!C5</f>
        <v>2024</v>
      </c>
    </row>
    <row r="2" spans="1:11" x14ac:dyDescent="0.25">
      <c r="A2" s="9"/>
      <c r="B2" s="9"/>
      <c r="C2" s="9"/>
      <c r="D2" s="9"/>
      <c r="E2" s="9"/>
      <c r="F2" s="9"/>
      <c r="G2" s="9"/>
      <c r="H2" s="9"/>
      <c r="I2" s="8"/>
      <c r="J2" s="8"/>
    </row>
    <row r="3" spans="1:11" x14ac:dyDescent="0.25">
      <c r="A3" s="687" t="s">
        <v>166</v>
      </c>
      <c r="B3" s="687"/>
      <c r="C3" s="687"/>
      <c r="D3" s="687"/>
      <c r="E3" s="687"/>
      <c r="F3" s="687"/>
      <c r="G3" s="687"/>
      <c r="H3" s="687"/>
      <c r="I3" s="687"/>
      <c r="J3" s="687"/>
      <c r="K3" s="3"/>
    </row>
    <row r="4" spans="1:11" x14ac:dyDescent="0.25">
      <c r="A4" s="9"/>
      <c r="B4" s="13"/>
      <c r="C4" s="13"/>
      <c r="D4" s="13"/>
      <c r="E4" s="13"/>
      <c r="F4" s="13"/>
      <c r="G4" s="13"/>
      <c r="H4" s="13"/>
      <c r="I4" s="13"/>
      <c r="J4" s="13"/>
    </row>
    <row r="5" spans="1:11" ht="16.5" customHeight="1" x14ac:dyDescent="0.25">
      <c r="A5" s="691" t="s">
        <v>9</v>
      </c>
      <c r="B5" s="694" t="str">
        <f>CONCATENATE("Prior Year Actual for ",J1-2,"")</f>
        <v>Prior Year Actual for 2022</v>
      </c>
      <c r="C5" s="695"/>
      <c r="D5" s="696" t="str">
        <f>CONCATENATE("Current Year Estimate for ",J1-1,"")</f>
        <v>Current Year Estimate for 2023</v>
      </c>
      <c r="E5" s="697"/>
      <c r="F5" s="699" t="str">
        <f>CONCATENATE("Proposed Budget Year for ",J1,"")</f>
        <v>Proposed Budget Year for 2024</v>
      </c>
      <c r="G5" s="700"/>
      <c r="H5" s="700"/>
      <c r="I5" s="700"/>
      <c r="J5" s="701"/>
    </row>
    <row r="6" spans="1:11" ht="27" customHeight="1" x14ac:dyDescent="0.25">
      <c r="A6" s="692"/>
      <c r="B6" s="616" t="s">
        <v>60</v>
      </c>
      <c r="C6" s="595" t="s">
        <v>536</v>
      </c>
      <c r="D6" s="616" t="s">
        <v>60</v>
      </c>
      <c r="E6" s="595" t="s">
        <v>536</v>
      </c>
      <c r="F6" s="681" t="s">
        <v>523</v>
      </c>
      <c r="G6" s="698" t="str">
        <f>CONCATENATE("Amount of ",J1-1," Ad Valorem Tax")</f>
        <v>Amount of 2023 Ad Valorem Tax</v>
      </c>
      <c r="H6" s="595" t="s">
        <v>539</v>
      </c>
      <c r="I6" s="702" t="s">
        <v>540</v>
      </c>
      <c r="J6" s="698" t="str">
        <f>CONCATENATE("July 1, ",J1-1," Estimated Valuation")</f>
        <v>July 1, 2023 Estimated Valuation</v>
      </c>
    </row>
    <row r="7" spans="1:11" ht="27" customHeight="1" x14ac:dyDescent="0.25">
      <c r="A7" s="693"/>
      <c r="B7" s="618"/>
      <c r="C7" s="596"/>
      <c r="D7" s="618"/>
      <c r="E7" s="596"/>
      <c r="F7" s="682"/>
      <c r="G7" s="569"/>
      <c r="H7" s="596"/>
      <c r="I7" s="702"/>
      <c r="J7" s="569"/>
    </row>
    <row r="8" spans="1:11" x14ac:dyDescent="0.25">
      <c r="A8" s="6"/>
      <c r="B8" s="6"/>
      <c r="C8" s="7"/>
      <c r="D8" s="6"/>
      <c r="E8" s="7"/>
      <c r="F8" s="6"/>
      <c r="G8" s="6"/>
      <c r="H8" s="18" t="str">
        <f>IF(J8&lt;&gt;0,ROUND(G8/J8*1000,3),"")</f>
        <v/>
      </c>
      <c r="I8" s="426"/>
      <c r="J8" s="6"/>
      <c r="K8" s="2" t="str">
        <f>IF(H8&gt;I8, "Follow procedure in KSA 79-2988 to exceed RNR", "")</f>
        <v/>
      </c>
    </row>
    <row r="9" spans="1:11" x14ac:dyDescent="0.25">
      <c r="A9" s="6"/>
      <c r="B9" s="6"/>
      <c r="C9" s="7"/>
      <c r="D9" s="6"/>
      <c r="E9" s="7"/>
      <c r="F9" s="6"/>
      <c r="G9" s="6"/>
      <c r="H9" s="18" t="str">
        <f t="shared" ref="H9:H36" si="0">IF(J9&lt;&gt;0,ROUND(G9/J9*1000,3),"")</f>
        <v/>
      </c>
      <c r="I9" s="426"/>
      <c r="J9" s="6"/>
      <c r="K9" s="2" t="str">
        <f t="shared" ref="K9:K36" si="1">IF(H9&gt;I9, "Follow procedure in KSA 79-2988 to exceed RNR", "")</f>
        <v/>
      </c>
    </row>
    <row r="10" spans="1:11" x14ac:dyDescent="0.25">
      <c r="A10" s="6"/>
      <c r="B10" s="6"/>
      <c r="C10" s="7"/>
      <c r="D10" s="6"/>
      <c r="E10" s="7"/>
      <c r="F10" s="6"/>
      <c r="G10" s="6"/>
      <c r="H10" s="18" t="str">
        <f t="shared" si="0"/>
        <v/>
      </c>
      <c r="I10" s="426"/>
      <c r="J10" s="6"/>
      <c r="K10" s="2" t="str">
        <f t="shared" si="1"/>
        <v/>
      </c>
    </row>
    <row r="11" spans="1:11" x14ac:dyDescent="0.25">
      <c r="A11" s="6"/>
      <c r="B11" s="6"/>
      <c r="C11" s="7"/>
      <c r="D11" s="6"/>
      <c r="E11" s="7"/>
      <c r="F11" s="6"/>
      <c r="G11" s="6"/>
      <c r="H11" s="18" t="str">
        <f t="shared" si="0"/>
        <v/>
      </c>
      <c r="I11" s="426"/>
      <c r="J11" s="6"/>
      <c r="K11" s="2" t="str">
        <f t="shared" si="1"/>
        <v/>
      </c>
    </row>
    <row r="12" spans="1:11" x14ac:dyDescent="0.25">
      <c r="A12" s="6"/>
      <c r="B12" s="6"/>
      <c r="C12" s="7"/>
      <c r="D12" s="6"/>
      <c r="E12" s="7"/>
      <c r="F12" s="6"/>
      <c r="G12" s="6"/>
      <c r="H12" s="18" t="str">
        <f t="shared" si="0"/>
        <v/>
      </c>
      <c r="I12" s="426"/>
      <c r="J12" s="6"/>
      <c r="K12" s="2" t="str">
        <f t="shared" si="1"/>
        <v/>
      </c>
    </row>
    <row r="13" spans="1:11" x14ac:dyDescent="0.25">
      <c r="A13" s="6"/>
      <c r="B13" s="6"/>
      <c r="C13" s="7"/>
      <c r="D13" s="6"/>
      <c r="E13" s="7"/>
      <c r="F13" s="6"/>
      <c r="G13" s="6"/>
      <c r="H13" s="18" t="str">
        <f t="shared" si="0"/>
        <v/>
      </c>
      <c r="I13" s="426"/>
      <c r="J13" s="6"/>
      <c r="K13" s="2" t="str">
        <f t="shared" si="1"/>
        <v/>
      </c>
    </row>
    <row r="14" spans="1:11" x14ac:dyDescent="0.25">
      <c r="A14" s="6"/>
      <c r="B14" s="6"/>
      <c r="C14" s="7"/>
      <c r="D14" s="6"/>
      <c r="E14" s="7"/>
      <c r="F14" s="6"/>
      <c r="G14" s="6"/>
      <c r="H14" s="18" t="str">
        <f t="shared" si="0"/>
        <v/>
      </c>
      <c r="I14" s="426"/>
      <c r="J14" s="6"/>
      <c r="K14" s="2" t="str">
        <f t="shared" si="1"/>
        <v/>
      </c>
    </row>
    <row r="15" spans="1:11" x14ac:dyDescent="0.25">
      <c r="A15" s="6"/>
      <c r="B15" s="6"/>
      <c r="C15" s="7"/>
      <c r="D15" s="6"/>
      <c r="E15" s="7"/>
      <c r="F15" s="6"/>
      <c r="G15" s="6"/>
      <c r="H15" s="18" t="str">
        <f t="shared" si="0"/>
        <v/>
      </c>
      <c r="I15" s="426"/>
      <c r="J15" s="6"/>
      <c r="K15" s="2" t="str">
        <f t="shared" si="1"/>
        <v/>
      </c>
    </row>
    <row r="16" spans="1:11" x14ac:dyDescent="0.25">
      <c r="A16" s="6"/>
      <c r="B16" s="6"/>
      <c r="C16" s="7"/>
      <c r="D16" s="6"/>
      <c r="E16" s="7"/>
      <c r="F16" s="6"/>
      <c r="G16" s="6"/>
      <c r="H16" s="18" t="str">
        <f t="shared" si="0"/>
        <v/>
      </c>
      <c r="I16" s="426"/>
      <c r="J16" s="6"/>
      <c r="K16" s="2" t="str">
        <f t="shared" si="1"/>
        <v/>
      </c>
    </row>
    <row r="17" spans="1:11" x14ac:dyDescent="0.25">
      <c r="A17" s="6"/>
      <c r="B17" s="6"/>
      <c r="C17" s="7"/>
      <c r="D17" s="6"/>
      <c r="E17" s="7"/>
      <c r="F17" s="6"/>
      <c r="G17" s="6"/>
      <c r="H17" s="18" t="str">
        <f t="shared" si="0"/>
        <v/>
      </c>
      <c r="I17" s="426"/>
      <c r="J17" s="6"/>
      <c r="K17" s="2" t="str">
        <f t="shared" si="1"/>
        <v/>
      </c>
    </row>
    <row r="18" spans="1:11" x14ac:dyDescent="0.25">
      <c r="A18" s="6"/>
      <c r="B18" s="6"/>
      <c r="C18" s="7"/>
      <c r="D18" s="6"/>
      <c r="E18" s="7"/>
      <c r="F18" s="6"/>
      <c r="G18" s="6"/>
      <c r="H18" s="18" t="str">
        <f t="shared" si="0"/>
        <v/>
      </c>
      <c r="I18" s="426"/>
      <c r="J18" s="6"/>
      <c r="K18" s="2" t="str">
        <f t="shared" si="1"/>
        <v/>
      </c>
    </row>
    <row r="19" spans="1:11" x14ac:dyDescent="0.25">
      <c r="A19" s="6"/>
      <c r="B19" s="6"/>
      <c r="C19" s="7"/>
      <c r="D19" s="6"/>
      <c r="E19" s="7"/>
      <c r="F19" s="6"/>
      <c r="G19" s="6"/>
      <c r="H19" s="18" t="str">
        <f t="shared" si="0"/>
        <v/>
      </c>
      <c r="I19" s="426"/>
      <c r="J19" s="6"/>
      <c r="K19" s="2" t="str">
        <f t="shared" si="1"/>
        <v/>
      </c>
    </row>
    <row r="20" spans="1:11" x14ac:dyDescent="0.25">
      <c r="A20" s="6"/>
      <c r="B20" s="6"/>
      <c r="C20" s="7"/>
      <c r="D20" s="6"/>
      <c r="E20" s="7"/>
      <c r="F20" s="6"/>
      <c r="G20" s="6"/>
      <c r="H20" s="18" t="str">
        <f t="shared" si="0"/>
        <v/>
      </c>
      <c r="I20" s="426"/>
      <c r="J20" s="6"/>
      <c r="K20" s="2" t="str">
        <f t="shared" si="1"/>
        <v/>
      </c>
    </row>
    <row r="21" spans="1:11" x14ac:dyDescent="0.25">
      <c r="A21" s="6"/>
      <c r="B21" s="6"/>
      <c r="C21" s="7"/>
      <c r="D21" s="6"/>
      <c r="E21" s="7"/>
      <c r="F21" s="6"/>
      <c r="G21" s="6"/>
      <c r="H21" s="18" t="str">
        <f t="shared" si="0"/>
        <v/>
      </c>
      <c r="I21" s="426"/>
      <c r="J21" s="6"/>
      <c r="K21" s="2" t="str">
        <f t="shared" si="1"/>
        <v/>
      </c>
    </row>
    <row r="22" spans="1:11" x14ac:dyDescent="0.25">
      <c r="A22" s="6"/>
      <c r="B22" s="6"/>
      <c r="C22" s="7"/>
      <c r="D22" s="6"/>
      <c r="E22" s="7"/>
      <c r="F22" s="6"/>
      <c r="G22" s="6"/>
      <c r="H22" s="18" t="str">
        <f t="shared" si="0"/>
        <v/>
      </c>
      <c r="I22" s="426"/>
      <c r="J22" s="6"/>
      <c r="K22" s="2" t="str">
        <f t="shared" si="1"/>
        <v/>
      </c>
    </row>
    <row r="23" spans="1:11" x14ac:dyDescent="0.25">
      <c r="A23" s="6"/>
      <c r="B23" s="6"/>
      <c r="C23" s="7"/>
      <c r="D23" s="6"/>
      <c r="E23" s="7"/>
      <c r="F23" s="6"/>
      <c r="G23" s="6"/>
      <c r="H23" s="18" t="str">
        <f t="shared" si="0"/>
        <v/>
      </c>
      <c r="I23" s="426"/>
      <c r="J23" s="6"/>
      <c r="K23" s="2" t="str">
        <f t="shared" si="1"/>
        <v/>
      </c>
    </row>
    <row r="24" spans="1:11" x14ac:dyDescent="0.25">
      <c r="A24" s="6"/>
      <c r="B24" s="6"/>
      <c r="C24" s="7"/>
      <c r="D24" s="6"/>
      <c r="E24" s="7"/>
      <c r="F24" s="6"/>
      <c r="G24" s="6"/>
      <c r="H24" s="18" t="str">
        <f t="shared" si="0"/>
        <v/>
      </c>
      <c r="I24" s="426"/>
      <c r="J24" s="6"/>
      <c r="K24" s="2" t="str">
        <f t="shared" si="1"/>
        <v/>
      </c>
    </row>
    <row r="25" spans="1:11" x14ac:dyDescent="0.25">
      <c r="A25" s="6"/>
      <c r="B25" s="6"/>
      <c r="C25" s="7"/>
      <c r="D25" s="6"/>
      <c r="E25" s="7"/>
      <c r="F25" s="6"/>
      <c r="G25" s="6"/>
      <c r="H25" s="18" t="str">
        <f t="shared" si="0"/>
        <v/>
      </c>
      <c r="I25" s="426"/>
      <c r="J25" s="6"/>
      <c r="K25" s="2" t="str">
        <f t="shared" si="1"/>
        <v/>
      </c>
    </row>
    <row r="26" spans="1:11" x14ac:dyDescent="0.25">
      <c r="A26" s="6"/>
      <c r="B26" s="6"/>
      <c r="C26" s="7"/>
      <c r="D26" s="6"/>
      <c r="E26" s="7"/>
      <c r="F26" s="6"/>
      <c r="G26" s="6"/>
      <c r="H26" s="18" t="str">
        <f t="shared" si="0"/>
        <v/>
      </c>
      <c r="I26" s="426"/>
      <c r="J26" s="6"/>
      <c r="K26" s="2" t="str">
        <f t="shared" si="1"/>
        <v/>
      </c>
    </row>
    <row r="27" spans="1:11" x14ac:dyDescent="0.25">
      <c r="A27" s="6"/>
      <c r="B27" s="6"/>
      <c r="C27" s="7"/>
      <c r="D27" s="6"/>
      <c r="E27" s="7"/>
      <c r="F27" s="6"/>
      <c r="G27" s="6"/>
      <c r="H27" s="18" t="str">
        <f t="shared" si="0"/>
        <v/>
      </c>
      <c r="I27" s="426"/>
      <c r="J27" s="6"/>
      <c r="K27" s="2" t="str">
        <f t="shared" si="1"/>
        <v/>
      </c>
    </row>
    <row r="28" spans="1:11" x14ac:dyDescent="0.25">
      <c r="A28" s="6"/>
      <c r="B28" s="6"/>
      <c r="C28" s="7"/>
      <c r="D28" s="6"/>
      <c r="E28" s="7"/>
      <c r="F28" s="6"/>
      <c r="G28" s="6"/>
      <c r="H28" s="18" t="str">
        <f t="shared" si="0"/>
        <v/>
      </c>
      <c r="I28" s="426"/>
      <c r="J28" s="6"/>
      <c r="K28" s="2" t="str">
        <f t="shared" si="1"/>
        <v/>
      </c>
    </row>
    <row r="29" spans="1:11" x14ac:dyDescent="0.25">
      <c r="A29" s="6"/>
      <c r="B29" s="6"/>
      <c r="C29" s="7"/>
      <c r="D29" s="6"/>
      <c r="E29" s="7"/>
      <c r="F29" s="6"/>
      <c r="G29" s="6"/>
      <c r="H29" s="18" t="str">
        <f t="shared" si="0"/>
        <v/>
      </c>
      <c r="I29" s="426"/>
      <c r="J29" s="6"/>
      <c r="K29" s="2" t="str">
        <f t="shared" si="1"/>
        <v/>
      </c>
    </row>
    <row r="30" spans="1:11" x14ac:dyDescent="0.25">
      <c r="A30" s="6"/>
      <c r="B30" s="6"/>
      <c r="C30" s="7"/>
      <c r="D30" s="6"/>
      <c r="E30" s="7"/>
      <c r="F30" s="6"/>
      <c r="G30" s="6"/>
      <c r="H30" s="18" t="str">
        <f t="shared" si="0"/>
        <v/>
      </c>
      <c r="I30" s="426"/>
      <c r="J30" s="6"/>
      <c r="K30" s="2" t="str">
        <f t="shared" si="1"/>
        <v/>
      </c>
    </row>
    <row r="31" spans="1:11" x14ac:dyDescent="0.25">
      <c r="A31" s="6"/>
      <c r="B31" s="6"/>
      <c r="C31" s="7"/>
      <c r="D31" s="6"/>
      <c r="E31" s="7"/>
      <c r="F31" s="6"/>
      <c r="G31" s="6"/>
      <c r="H31" s="18" t="str">
        <f t="shared" si="0"/>
        <v/>
      </c>
      <c r="I31" s="426"/>
      <c r="J31" s="6"/>
      <c r="K31" s="2" t="str">
        <f t="shared" si="1"/>
        <v/>
      </c>
    </row>
    <row r="32" spans="1:11" x14ac:dyDescent="0.25">
      <c r="A32" s="6"/>
      <c r="B32" s="6"/>
      <c r="C32" s="7"/>
      <c r="D32" s="6"/>
      <c r="E32" s="7"/>
      <c r="F32" s="6"/>
      <c r="G32" s="6"/>
      <c r="H32" s="18" t="str">
        <f t="shared" si="0"/>
        <v/>
      </c>
      <c r="I32" s="426"/>
      <c r="J32" s="6"/>
      <c r="K32" s="2" t="str">
        <f t="shared" si="1"/>
        <v/>
      </c>
    </row>
    <row r="33" spans="1:11" x14ac:dyDescent="0.25">
      <c r="A33" s="6"/>
      <c r="B33" s="6"/>
      <c r="C33" s="7"/>
      <c r="D33" s="6"/>
      <c r="E33" s="7"/>
      <c r="F33" s="6"/>
      <c r="G33" s="6"/>
      <c r="H33" s="18" t="str">
        <f t="shared" si="0"/>
        <v/>
      </c>
      <c r="I33" s="426"/>
      <c r="J33" s="6"/>
      <c r="K33" s="2" t="str">
        <f t="shared" si="1"/>
        <v/>
      </c>
    </row>
    <row r="34" spans="1:11" x14ac:dyDescent="0.25">
      <c r="A34" s="6"/>
      <c r="B34" s="6"/>
      <c r="C34" s="7"/>
      <c r="D34" s="6"/>
      <c r="E34" s="7"/>
      <c r="F34" s="6"/>
      <c r="G34" s="6"/>
      <c r="H34" s="18" t="str">
        <f t="shared" si="0"/>
        <v/>
      </c>
      <c r="I34" s="426"/>
      <c r="J34" s="6"/>
      <c r="K34" s="2" t="str">
        <f t="shared" si="1"/>
        <v/>
      </c>
    </row>
    <row r="35" spans="1:11" x14ac:dyDescent="0.25">
      <c r="A35" s="6"/>
      <c r="B35" s="6"/>
      <c r="C35" s="7"/>
      <c r="D35" s="6"/>
      <c r="E35" s="7"/>
      <c r="F35" s="6"/>
      <c r="G35" s="6"/>
      <c r="H35" s="18" t="str">
        <f t="shared" si="0"/>
        <v/>
      </c>
      <c r="I35" s="426"/>
      <c r="J35" s="6"/>
      <c r="K35" s="2" t="str">
        <f t="shared" si="1"/>
        <v/>
      </c>
    </row>
    <row r="36" spans="1:11" x14ac:dyDescent="0.25">
      <c r="A36" s="6"/>
      <c r="B36" s="6"/>
      <c r="C36" s="7"/>
      <c r="D36" s="6"/>
      <c r="E36" s="7"/>
      <c r="F36" s="6"/>
      <c r="G36" s="6"/>
      <c r="H36" s="18" t="str">
        <f t="shared" si="0"/>
        <v/>
      </c>
      <c r="I36" s="426"/>
      <c r="J36" s="6"/>
      <c r="K36" s="2" t="str">
        <f t="shared" si="1"/>
        <v/>
      </c>
    </row>
    <row r="37" spans="1:11" x14ac:dyDescent="0.25">
      <c r="A37" s="9"/>
      <c r="B37" s="9"/>
      <c r="C37" s="9"/>
      <c r="D37" s="9"/>
      <c r="E37" s="9"/>
      <c r="F37" s="9"/>
      <c r="G37" s="9"/>
      <c r="H37" s="9"/>
      <c r="I37" s="9"/>
      <c r="J37" s="377"/>
    </row>
    <row r="38" spans="1:11" x14ac:dyDescent="0.25">
      <c r="A38" s="10" t="s">
        <v>144</v>
      </c>
      <c r="B38" s="9"/>
      <c r="C38" s="9"/>
      <c r="D38" s="9"/>
      <c r="E38" s="9"/>
      <c r="F38" s="9"/>
      <c r="G38" s="9"/>
      <c r="H38" s="9"/>
      <c r="I38" s="9"/>
      <c r="J38" s="377"/>
    </row>
    <row r="39" spans="1:11" x14ac:dyDescent="0.25">
      <c r="A39" s="425" t="s">
        <v>535</v>
      </c>
      <c r="B39" s="9"/>
      <c r="C39" s="9"/>
      <c r="D39" s="9"/>
      <c r="E39" s="9"/>
      <c r="F39" s="9"/>
      <c r="G39" s="9"/>
      <c r="H39" s="9"/>
      <c r="I39" s="9"/>
      <c r="J39" s="377"/>
    </row>
    <row r="40" spans="1:11" x14ac:dyDescent="0.25">
      <c r="A40" s="425"/>
      <c r="B40" s="9"/>
      <c r="C40" s="9"/>
      <c r="D40" s="9"/>
      <c r="E40" s="9"/>
      <c r="F40" s="9"/>
      <c r="G40" s="9"/>
      <c r="H40" s="9"/>
      <c r="I40" s="9"/>
      <c r="J40" s="377"/>
    </row>
    <row r="41" spans="1:11" x14ac:dyDescent="0.25">
      <c r="A41" s="669" t="str">
        <f>inputHearing!B14</f>
        <v>Wayne Grable</v>
      </c>
      <c r="B41" s="688"/>
      <c r="C41" s="9"/>
      <c r="D41" s="9"/>
      <c r="E41" s="9"/>
      <c r="F41" s="9"/>
      <c r="G41" s="9"/>
      <c r="H41" s="9"/>
      <c r="I41" s="9"/>
      <c r="J41" s="377"/>
    </row>
    <row r="42" spans="1:11" x14ac:dyDescent="0.25">
      <c r="A42" s="689" t="str">
        <f>inputHearing!B16</f>
        <v>Chairman</v>
      </c>
      <c r="B42" s="690"/>
      <c r="C42" s="9"/>
      <c r="D42" s="9" t="s">
        <v>133</v>
      </c>
      <c r="E42" s="363"/>
      <c r="F42" s="9"/>
      <c r="G42" s="9"/>
      <c r="H42" s="9"/>
      <c r="I42" s="9"/>
      <c r="J42" s="377"/>
    </row>
    <row r="44" spans="1:11" x14ac:dyDescent="0.25">
      <c r="A44" s="1"/>
      <c r="B44" s="1"/>
      <c r="C44" s="1"/>
      <c r="D44" s="1"/>
      <c r="E44" s="1"/>
      <c r="F44" s="1"/>
      <c r="G44" s="1"/>
      <c r="H44" s="1"/>
      <c r="I44" s="1"/>
      <c r="J44" s="1"/>
    </row>
    <row r="45" spans="1:11" x14ac:dyDescent="0.25">
      <c r="A45" s="4"/>
      <c r="B45" s="1"/>
      <c r="C45" s="1"/>
      <c r="D45" s="1"/>
      <c r="E45" s="1"/>
      <c r="F45" s="1"/>
      <c r="G45" s="1"/>
      <c r="H45" s="1"/>
      <c r="I45" s="1"/>
      <c r="J45" s="1"/>
    </row>
    <row r="46" spans="1:11" x14ac:dyDescent="0.25">
      <c r="A46" s="4"/>
      <c r="B46" s="5"/>
      <c r="C46" s="1"/>
      <c r="D46" s="5"/>
      <c r="E46" s="1"/>
      <c r="F46" s="5"/>
      <c r="G46" s="1"/>
      <c r="H46" s="1"/>
      <c r="I46" s="1"/>
      <c r="J46" s="1"/>
    </row>
    <row r="47" spans="1:11" x14ac:dyDescent="0.25">
      <c r="A47" s="4"/>
      <c r="B47" s="4"/>
      <c r="C47" s="1"/>
      <c r="D47" s="4"/>
      <c r="E47" s="1"/>
      <c r="F47" s="4"/>
      <c r="G47" s="1"/>
      <c r="H47" s="1"/>
      <c r="I47" s="1"/>
      <c r="J47" s="1"/>
    </row>
    <row r="48" spans="1:11" x14ac:dyDescent="0.25">
      <c r="A48" s="4"/>
      <c r="B48" s="4"/>
      <c r="C48" s="1"/>
      <c r="D48" s="4"/>
      <c r="E48" s="1"/>
      <c r="F48" s="4"/>
      <c r="G48" s="1"/>
      <c r="H48" s="1"/>
      <c r="I48" s="1"/>
      <c r="J48" s="1"/>
    </row>
    <row r="49" spans="1:10" x14ac:dyDescent="0.25">
      <c r="A49" s="4"/>
      <c r="B49" s="4"/>
      <c r="C49" s="1"/>
      <c r="D49" s="4"/>
      <c r="E49" s="1"/>
      <c r="F49" s="4"/>
      <c r="G49" s="1"/>
      <c r="H49" s="1"/>
      <c r="I49" s="1"/>
      <c r="J49" s="1"/>
    </row>
    <row r="50" spans="1:10" x14ac:dyDescent="0.25">
      <c r="A50" s="4"/>
      <c r="B50" s="4"/>
      <c r="C50" s="1"/>
      <c r="D50" s="4"/>
      <c r="E50" s="1"/>
      <c r="F50" s="4"/>
      <c r="G50" s="1"/>
      <c r="H50" s="1"/>
      <c r="I50" s="1"/>
      <c r="J50" s="1"/>
    </row>
    <row r="51" spans="1:10" x14ac:dyDescent="0.25">
      <c r="A51" s="4"/>
      <c r="B51" s="4"/>
      <c r="C51" s="1"/>
      <c r="D51" s="4"/>
      <c r="E51" s="1"/>
      <c r="F51" s="4"/>
      <c r="G51" s="1"/>
      <c r="H51" s="1"/>
      <c r="I51" s="1"/>
      <c r="J51" s="1"/>
    </row>
    <row r="52" spans="1:10" x14ac:dyDescent="0.25">
      <c r="B52" s="1"/>
      <c r="C52" s="1"/>
      <c r="D52" s="1"/>
      <c r="E52" s="1"/>
      <c r="F52" s="1"/>
      <c r="G52" s="1"/>
      <c r="H52" s="1"/>
      <c r="I52" s="1"/>
      <c r="J52" s="1"/>
    </row>
    <row r="53" spans="1:10" x14ac:dyDescent="0.25">
      <c r="B53" s="1"/>
      <c r="C53" s="1"/>
      <c r="D53" s="1"/>
      <c r="E53" s="1"/>
      <c r="F53" s="1"/>
      <c r="G53" s="1"/>
      <c r="H53" s="1"/>
      <c r="I53" s="1"/>
      <c r="J53" s="1"/>
    </row>
    <row r="54" spans="1:10" x14ac:dyDescent="0.25">
      <c r="B54" s="513"/>
      <c r="C54" s="1"/>
      <c r="D54" s="1"/>
      <c r="E54" s="1"/>
      <c r="F54" s="1"/>
      <c r="G54" s="1"/>
      <c r="H54" s="1"/>
      <c r="I54" s="1"/>
      <c r="J54" s="1"/>
    </row>
    <row r="55" spans="1:10" x14ac:dyDescent="0.25">
      <c r="B55" s="514"/>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sheetData>
  <sheetProtection sheet="1" objects="1" scenarios="1"/>
  <mergeCells count="16">
    <mergeCell ref="A3:J3"/>
    <mergeCell ref="A41:B41"/>
    <mergeCell ref="A42:B42"/>
    <mergeCell ref="A5:A7"/>
    <mergeCell ref="B5:C5"/>
    <mergeCell ref="D5:E5"/>
    <mergeCell ref="B6:B7"/>
    <mergeCell ref="C6:C7"/>
    <mergeCell ref="D6:D7"/>
    <mergeCell ref="E6:E7"/>
    <mergeCell ref="G6:G7"/>
    <mergeCell ref="J6:J7"/>
    <mergeCell ref="F5:J5"/>
    <mergeCell ref="I6:I7"/>
    <mergeCell ref="F6:F7"/>
    <mergeCell ref="H6:H7"/>
  </mergeCells>
  <phoneticPr fontId="0" type="noConversion"/>
  <conditionalFormatting sqref="K8:K36">
    <cfRule type="notContainsBlanks" dxfId="2" priority="2">
      <formula>LEN(TRIM(K8))&gt;0</formula>
    </cfRule>
  </conditionalFormatting>
  <pageMargins left="1.1200000000000001" right="0.5" top="0.74" bottom="0.34" header="0.5" footer="0"/>
  <pageSetup scale="51" orientation="portrait" blackAndWhite="1" horizontalDpi="120" r:id="rId1"/>
  <headerFooter alignWithMargins="0">
    <oddHeader xml:space="preserve">&amp;RState of Kansas
County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B0F0"/>
    <pageSetUpPr fitToPage="1"/>
  </sheetPr>
  <dimension ref="A1:M86"/>
  <sheetViews>
    <sheetView tabSelected="1" zoomScale="90" zoomScaleNormal="90" workbookViewId="0"/>
  </sheetViews>
  <sheetFormatPr defaultRowHeight="15.75" x14ac:dyDescent="0.2"/>
  <cols>
    <col min="1" max="1" width="21.77734375" style="23" customWidth="1"/>
    <col min="2" max="2" width="15.6640625" style="23" customWidth="1"/>
    <col min="3" max="3" width="9.44140625" style="23" customWidth="1"/>
    <col min="4" max="4" width="16.77734375" style="23" customWidth="1"/>
    <col min="5" max="5" width="9.77734375" style="23" customWidth="1"/>
    <col min="6" max="6" width="15.77734375" style="23" customWidth="1"/>
    <col min="7" max="7" width="13.6640625" style="23" customWidth="1"/>
    <col min="8" max="8" width="9.77734375" style="23" customWidth="1"/>
    <col min="9" max="9" width="8.88671875" style="23"/>
    <col min="10" max="10" width="12.44140625" style="23" customWidth="1"/>
    <col min="11" max="11" width="12.33203125" style="23" customWidth="1"/>
    <col min="12" max="12" width="10.5546875" style="23" customWidth="1"/>
    <col min="13" max="13" width="12.109375" style="23" customWidth="1"/>
    <col min="14" max="16384" width="8.88671875" style="23"/>
  </cols>
  <sheetData>
    <row r="1" spans="1:9" x14ac:dyDescent="0.2">
      <c r="A1" s="26" t="str">
        <f>inputPrYr!C3</f>
        <v>Doniphan County</v>
      </c>
      <c r="B1" s="26"/>
      <c r="C1" s="26"/>
      <c r="D1" s="26"/>
      <c r="E1" s="26"/>
      <c r="F1" s="26"/>
      <c r="G1" s="26"/>
      <c r="H1" s="125">
        <f>inputPrYr!C5</f>
        <v>2024</v>
      </c>
    </row>
    <row r="2" spans="1:9" x14ac:dyDescent="0.2">
      <c r="A2" s="604" t="s">
        <v>541</v>
      </c>
      <c r="B2" s="604"/>
      <c r="C2" s="604"/>
      <c r="D2" s="604"/>
      <c r="E2" s="604"/>
      <c r="F2" s="604"/>
      <c r="G2" s="604"/>
      <c r="H2" s="604"/>
      <c r="I2" s="199"/>
    </row>
    <row r="3" spans="1:9" x14ac:dyDescent="0.2">
      <c r="A3" s="585"/>
      <c r="B3" s="585"/>
      <c r="C3" s="585"/>
      <c r="D3" s="585"/>
      <c r="E3" s="585"/>
      <c r="F3" s="585"/>
      <c r="G3" s="585"/>
      <c r="H3" s="585"/>
    </row>
    <row r="4" spans="1:9" x14ac:dyDescent="0.2">
      <c r="A4" s="600" t="s">
        <v>178</v>
      </c>
      <c r="B4" s="600"/>
      <c r="C4" s="600"/>
      <c r="D4" s="600"/>
      <c r="E4" s="600"/>
      <c r="F4" s="600"/>
      <c r="G4" s="600"/>
      <c r="H4" s="600"/>
    </row>
    <row r="5" spans="1:9" x14ac:dyDescent="0.2">
      <c r="A5" s="598" t="s">
        <v>1069</v>
      </c>
      <c r="B5" s="598"/>
      <c r="C5" s="598"/>
      <c r="D5" s="598"/>
      <c r="E5" s="598"/>
      <c r="F5" s="598"/>
      <c r="G5" s="598"/>
      <c r="H5" s="598"/>
    </row>
    <row r="6" spans="1:9" x14ac:dyDescent="0.2">
      <c r="A6" s="683" t="str">
        <f>CONCATENATE("will meet on ",inputHearing!B32," at ",inputHearing!B34," at ",inputHearing!B36," for the purpose of hearing and")</f>
        <v>will meet on August 28, 2023 at 9:30 A.M. at Doniphan County Courthouse 120 E Chestnut St Troy, KS for the purpose of hearing and</v>
      </c>
      <c r="B6" s="683"/>
      <c r="C6" s="683"/>
      <c r="D6" s="683"/>
      <c r="E6" s="683"/>
      <c r="F6" s="683"/>
      <c r="G6" s="683"/>
      <c r="H6" s="683"/>
    </row>
    <row r="7" spans="1:9" x14ac:dyDescent="0.2">
      <c r="A7" s="600" t="s">
        <v>542</v>
      </c>
      <c r="B7" s="600"/>
      <c r="C7" s="600"/>
      <c r="D7" s="600"/>
      <c r="E7" s="600"/>
      <c r="F7" s="600"/>
      <c r="G7" s="600"/>
      <c r="H7" s="600"/>
    </row>
    <row r="8" spans="1:9" x14ac:dyDescent="0.2">
      <c r="A8" s="683" t="str">
        <f>CONCATENATE("Detailed budget information is available at ",inputHearing!B38," and will be available at this hearing.")</f>
        <v>Detailed budget information is available at Doniphan County Clerk's Office and will be available at this hearing.</v>
      </c>
      <c r="B8" s="683"/>
      <c r="C8" s="683"/>
      <c r="D8" s="683"/>
      <c r="E8" s="683"/>
      <c r="F8" s="683"/>
      <c r="G8" s="683"/>
      <c r="H8" s="683"/>
    </row>
    <row r="9" spans="1:9" x14ac:dyDescent="0.2">
      <c r="A9" s="597" t="s">
        <v>167</v>
      </c>
      <c r="B9" s="597"/>
      <c r="C9" s="597"/>
      <c r="D9" s="597"/>
      <c r="E9" s="597"/>
      <c r="F9" s="597"/>
      <c r="G9" s="597"/>
      <c r="H9" s="597"/>
    </row>
    <row r="10" spans="1:9" x14ac:dyDescent="0.2">
      <c r="A10" s="600" t="str">
        <f>CONCATENATE("Proposed Budget ",H1," Expenditures and Amount of ",H1-1," Ad Valorem Tax establish the maximum limits of the ",H1," budget.")</f>
        <v>Proposed Budget 2024 Expenditures and Amount of 2023 Ad Valorem Tax establish the maximum limits of the 2024 budget.</v>
      </c>
      <c r="B10" s="600"/>
      <c r="C10" s="600"/>
      <c r="D10" s="600"/>
      <c r="E10" s="600"/>
      <c r="F10" s="600"/>
      <c r="G10" s="600"/>
      <c r="H10" s="600"/>
    </row>
    <row r="11" spans="1:9" x14ac:dyDescent="0.2">
      <c r="A11" s="600" t="s">
        <v>188</v>
      </c>
      <c r="B11" s="600"/>
      <c r="C11" s="600"/>
      <c r="D11" s="600"/>
      <c r="E11" s="600"/>
      <c r="F11" s="600"/>
      <c r="G11" s="600"/>
      <c r="H11" s="600"/>
    </row>
    <row r="12" spans="1:9" x14ac:dyDescent="0.2">
      <c r="A12" s="26"/>
      <c r="B12" s="26"/>
      <c r="C12" s="26"/>
      <c r="D12" s="26"/>
      <c r="E12" s="26"/>
      <c r="F12" s="26"/>
      <c r="G12" s="26"/>
      <c r="H12" s="26"/>
      <c r="I12" s="56"/>
    </row>
    <row r="13" spans="1:9" x14ac:dyDescent="0.2">
      <c r="A13" s="26"/>
      <c r="B13" s="662" t="str">
        <f>CONCATENATE("Prior Year Actual for ",H1-2,"")</f>
        <v>Prior Year Actual for 2022</v>
      </c>
      <c r="C13" s="663"/>
      <c r="D13" s="684" t="str">
        <f>CONCATENATE("Current Year Estimate for ",H1-1,"")</f>
        <v>Current Year Estimate for 2023</v>
      </c>
      <c r="E13" s="685"/>
      <c r="F13" s="590" t="str">
        <f>CONCATENATE("Proposed Budget Year for ",H1,"")</f>
        <v>Proposed Budget Year for 2024</v>
      </c>
      <c r="G13" s="591"/>
      <c r="H13" s="592"/>
    </row>
    <row r="14" spans="1:9" ht="24.95" customHeight="1" x14ac:dyDescent="0.2">
      <c r="A14" s="25"/>
      <c r="B14" s="616" t="s">
        <v>60</v>
      </c>
      <c r="C14" s="595" t="s">
        <v>536</v>
      </c>
      <c r="D14" s="616" t="s">
        <v>537</v>
      </c>
      <c r="E14" s="595" t="s">
        <v>536</v>
      </c>
      <c r="F14" s="681" t="s">
        <v>523</v>
      </c>
      <c r="G14" s="595" t="str">
        <f>CONCATENATE("Amount of ",H1-1,"       Ad Valorem Tax")</f>
        <v>Amount of 2023       Ad Valorem Tax</v>
      </c>
      <c r="H14" s="595" t="s">
        <v>538</v>
      </c>
    </row>
    <row r="15" spans="1:9" ht="24.95" customHeight="1" x14ac:dyDescent="0.2">
      <c r="A15" s="43" t="s">
        <v>134</v>
      </c>
      <c r="B15" s="618"/>
      <c r="C15" s="596"/>
      <c r="D15" s="618"/>
      <c r="E15" s="596"/>
      <c r="F15" s="682"/>
      <c r="G15" s="569"/>
      <c r="H15" s="596"/>
    </row>
    <row r="16" spans="1:9" x14ac:dyDescent="0.2">
      <c r="A16" s="50" t="s">
        <v>1070</v>
      </c>
      <c r="B16" s="50">
        <v>9642</v>
      </c>
      <c r="C16" s="200">
        <v>1.9019999999999999</v>
      </c>
      <c r="D16" s="50">
        <v>17967</v>
      </c>
      <c r="E16" s="200">
        <v>1.8080000000000001</v>
      </c>
      <c r="F16" s="50">
        <v>12881</v>
      </c>
      <c r="G16" s="50">
        <v>8900</v>
      </c>
      <c r="H16" s="200">
        <v>1.82</v>
      </c>
    </row>
    <row r="17" spans="1:8" x14ac:dyDescent="0.2">
      <c r="A17" s="50" t="s">
        <v>1071</v>
      </c>
      <c r="B17" s="50">
        <v>21308</v>
      </c>
      <c r="C17" s="200">
        <v>4.423</v>
      </c>
      <c r="D17" s="50">
        <v>21801</v>
      </c>
      <c r="E17" s="731">
        <v>4.2039999999999997</v>
      </c>
      <c r="F17" s="50">
        <v>22281</v>
      </c>
      <c r="G17" s="50">
        <v>20695</v>
      </c>
      <c r="H17" s="200">
        <v>4.2329999999999997</v>
      </c>
    </row>
    <row r="18" spans="1:8" x14ac:dyDescent="0.2">
      <c r="A18" s="50" t="s">
        <v>530</v>
      </c>
      <c r="B18" s="50"/>
      <c r="C18" s="200"/>
      <c r="D18" s="50"/>
      <c r="E18" s="200"/>
      <c r="F18" s="50"/>
      <c r="G18" s="50"/>
      <c r="H18" s="200">
        <v>6.0540000000000003</v>
      </c>
    </row>
    <row r="19" spans="1:8" x14ac:dyDescent="0.2">
      <c r="A19" s="50" t="s">
        <v>1072</v>
      </c>
      <c r="B19" s="50">
        <v>8171</v>
      </c>
      <c r="C19" s="200">
        <v>0.52500000000000002</v>
      </c>
      <c r="D19" s="50">
        <v>22085</v>
      </c>
      <c r="E19" s="200">
        <v>0.85499999999999998</v>
      </c>
      <c r="F19" s="50">
        <v>39190</v>
      </c>
      <c r="G19" s="50">
        <v>17062</v>
      </c>
      <c r="H19" s="200">
        <v>0.82299999999999995</v>
      </c>
    </row>
    <row r="20" spans="1:8" x14ac:dyDescent="0.2">
      <c r="A20" s="50" t="s">
        <v>1073</v>
      </c>
      <c r="B20" s="50">
        <v>90495</v>
      </c>
      <c r="C20" s="200">
        <v>5.6829999999999998</v>
      </c>
      <c r="D20" s="50">
        <v>89124</v>
      </c>
      <c r="E20" s="200">
        <v>5.4859999999999998</v>
      </c>
      <c r="F20" s="50">
        <v>89616</v>
      </c>
      <c r="G20" s="50">
        <v>83343</v>
      </c>
      <c r="H20" s="200">
        <v>5.36</v>
      </c>
    </row>
    <row r="21" spans="1:8" x14ac:dyDescent="0.2">
      <c r="A21" s="50" t="s">
        <v>1074</v>
      </c>
      <c r="B21" s="50">
        <v>11500</v>
      </c>
      <c r="C21" s="200">
        <v>0.57799999999999996</v>
      </c>
      <c r="D21" s="50">
        <v>6800</v>
      </c>
      <c r="E21" s="200">
        <v>0.20499999999999999</v>
      </c>
      <c r="F21" s="50">
        <v>4201</v>
      </c>
      <c r="G21" s="50">
        <v>4086</v>
      </c>
      <c r="H21" s="200">
        <v>0.19700000000000001</v>
      </c>
    </row>
    <row r="22" spans="1:8" x14ac:dyDescent="0.2">
      <c r="A22" s="50" t="s">
        <v>345</v>
      </c>
      <c r="B22" s="50"/>
      <c r="C22" s="200"/>
      <c r="D22" s="50"/>
      <c r="E22" s="200"/>
      <c r="F22" s="50"/>
      <c r="G22" s="50"/>
      <c r="H22" s="200">
        <v>6.3810000000000002</v>
      </c>
    </row>
    <row r="23" spans="1:8" x14ac:dyDescent="0.2">
      <c r="A23" s="50" t="s">
        <v>1075</v>
      </c>
      <c r="B23" s="50">
        <v>4110</v>
      </c>
      <c r="C23" s="200">
        <v>0.38500000000000001</v>
      </c>
      <c r="D23" s="50">
        <v>37800</v>
      </c>
      <c r="E23" s="200">
        <v>0.36199999999999999</v>
      </c>
      <c r="F23" s="50">
        <v>57054</v>
      </c>
      <c r="G23" s="50">
        <v>8164</v>
      </c>
      <c r="H23" s="200">
        <v>0.379</v>
      </c>
    </row>
    <row r="24" spans="1:8" x14ac:dyDescent="0.2">
      <c r="A24" s="50" t="s">
        <v>1076</v>
      </c>
      <c r="B24" s="50">
        <v>96672</v>
      </c>
      <c r="C24" s="200">
        <v>4.4139999999999997</v>
      </c>
      <c r="D24" s="50">
        <v>105510</v>
      </c>
      <c r="E24" s="200">
        <v>4.1529999999999996</v>
      </c>
      <c r="F24" s="50">
        <v>196219</v>
      </c>
      <c r="G24" s="50">
        <v>93579</v>
      </c>
      <c r="H24" s="200">
        <v>4.3419999999999996</v>
      </c>
    </row>
    <row r="25" spans="1:8" x14ac:dyDescent="0.2">
      <c r="A25" s="50" t="s">
        <v>345</v>
      </c>
      <c r="B25" s="50"/>
      <c r="C25" s="200"/>
      <c r="D25" s="50"/>
      <c r="E25" s="200"/>
      <c r="F25" s="50"/>
      <c r="G25" s="50"/>
      <c r="H25" s="200">
        <v>4.7220000000000004</v>
      </c>
    </row>
    <row r="26" spans="1:8" x14ac:dyDescent="0.2">
      <c r="A26" s="50" t="s">
        <v>1077</v>
      </c>
      <c r="B26" s="50">
        <v>28491</v>
      </c>
      <c r="C26" s="200">
        <v>0.92400000000000004</v>
      </c>
      <c r="D26" s="50">
        <v>30500</v>
      </c>
      <c r="E26" s="200">
        <v>0.88500000000000001</v>
      </c>
      <c r="F26" s="50">
        <v>25653</v>
      </c>
      <c r="G26" s="50">
        <v>23806</v>
      </c>
      <c r="H26" s="200">
        <v>0.85699999999999998</v>
      </c>
    </row>
    <row r="27" spans="1:8" x14ac:dyDescent="0.2">
      <c r="A27" s="50" t="s">
        <v>1078</v>
      </c>
      <c r="B27" s="50">
        <v>103995</v>
      </c>
      <c r="C27" s="200">
        <v>4.6479999999999997</v>
      </c>
      <c r="D27" s="50">
        <v>106170</v>
      </c>
      <c r="E27" s="200">
        <v>4.5030000000000001</v>
      </c>
      <c r="F27" s="50">
        <v>102027</v>
      </c>
      <c r="G27" s="50">
        <v>100592</v>
      </c>
      <c r="H27" s="200">
        <v>4.38</v>
      </c>
    </row>
    <row r="28" spans="1:8" x14ac:dyDescent="0.2">
      <c r="A28" s="50" t="s">
        <v>1079</v>
      </c>
      <c r="B28" s="50">
        <v>12154</v>
      </c>
      <c r="C28" s="200">
        <v>0.46800000000000003</v>
      </c>
      <c r="D28" s="50">
        <v>12235</v>
      </c>
      <c r="E28" s="200">
        <v>0.44800000000000001</v>
      </c>
      <c r="F28" s="50">
        <v>12638</v>
      </c>
      <c r="G28" s="50">
        <v>12040</v>
      </c>
      <c r="H28" s="200">
        <v>0.433</v>
      </c>
    </row>
    <row r="29" spans="1:8" x14ac:dyDescent="0.2">
      <c r="A29" s="50" t="s">
        <v>345</v>
      </c>
      <c r="B29" s="50"/>
      <c r="C29" s="200"/>
      <c r="D29" s="50"/>
      <c r="E29" s="200"/>
      <c r="F29" s="50"/>
      <c r="G29" s="50"/>
      <c r="H29" s="200">
        <v>5.6719999999999997</v>
      </c>
    </row>
    <row r="30" spans="1:8" x14ac:dyDescent="0.2">
      <c r="A30" s="50" t="s">
        <v>1080</v>
      </c>
      <c r="B30" s="50">
        <v>15600</v>
      </c>
      <c r="C30" s="200">
        <v>2.2770000000000001</v>
      </c>
      <c r="D30" s="50">
        <v>16402</v>
      </c>
      <c r="E30" s="200">
        <v>2.2080000000000002</v>
      </c>
      <c r="F30" s="50">
        <v>61262</v>
      </c>
      <c r="G30" s="50">
        <v>15399</v>
      </c>
      <c r="H30" s="200">
        <v>2.2930000000000001</v>
      </c>
    </row>
    <row r="31" spans="1:8" x14ac:dyDescent="0.2">
      <c r="A31" s="50" t="s">
        <v>1081</v>
      </c>
      <c r="B31" s="50">
        <v>35819</v>
      </c>
      <c r="C31" s="200">
        <v>4.8760000000000003</v>
      </c>
      <c r="D31" s="50">
        <v>35670</v>
      </c>
      <c r="E31" s="200">
        <v>4.7329999999999997</v>
      </c>
      <c r="F31" s="50">
        <v>35434</v>
      </c>
      <c r="G31" s="50">
        <v>33003</v>
      </c>
      <c r="H31" s="200">
        <v>4.915</v>
      </c>
    </row>
    <row r="32" spans="1:8" x14ac:dyDescent="0.2">
      <c r="A32" s="50" t="s">
        <v>345</v>
      </c>
      <c r="B32" s="50"/>
      <c r="C32" s="200"/>
      <c r="D32" s="50"/>
      <c r="E32" s="200"/>
      <c r="F32" s="50"/>
      <c r="G32" s="50"/>
      <c r="H32" s="200">
        <v>7.2080000000000002</v>
      </c>
    </row>
    <row r="33" spans="1:13" x14ac:dyDescent="0.2">
      <c r="A33" s="50" t="s">
        <v>1082</v>
      </c>
      <c r="B33" s="50">
        <v>450</v>
      </c>
      <c r="C33" s="200">
        <v>0.114</v>
      </c>
      <c r="D33" s="50">
        <v>14651</v>
      </c>
      <c r="E33" s="200">
        <v>0.111</v>
      </c>
      <c r="F33" s="50">
        <v>18542</v>
      </c>
      <c r="G33" s="50">
        <v>1280</v>
      </c>
      <c r="H33" s="200">
        <v>0.113</v>
      </c>
    </row>
    <row r="34" spans="1:13" x14ac:dyDescent="0.2">
      <c r="A34" s="50" t="s">
        <v>1083</v>
      </c>
      <c r="B34" s="50">
        <v>63221</v>
      </c>
      <c r="C34" s="200">
        <v>5.8680000000000003</v>
      </c>
      <c r="D34" s="50">
        <v>64070</v>
      </c>
      <c r="E34" s="200">
        <v>5.7249999999999996</v>
      </c>
      <c r="F34" s="50">
        <v>63597</v>
      </c>
      <c r="G34" s="50">
        <v>61587</v>
      </c>
      <c r="H34" s="200">
        <v>5.83</v>
      </c>
    </row>
    <row r="35" spans="1:13" x14ac:dyDescent="0.2">
      <c r="A35" s="50" t="s">
        <v>345</v>
      </c>
      <c r="B35" s="50"/>
      <c r="C35" s="200"/>
      <c r="D35" s="50"/>
      <c r="E35" s="200"/>
      <c r="F35" s="50"/>
      <c r="G35" s="50"/>
      <c r="H35" s="200">
        <v>5.9429999999999996</v>
      </c>
    </row>
    <row r="36" spans="1:13" x14ac:dyDescent="0.2">
      <c r="A36" s="50" t="s">
        <v>1084</v>
      </c>
      <c r="B36" s="50">
        <v>28403</v>
      </c>
      <c r="C36" s="200">
        <v>0.85599999999999998</v>
      </c>
      <c r="D36" s="50">
        <v>30259</v>
      </c>
      <c r="E36" s="200">
        <v>0.85599999999999998</v>
      </c>
      <c r="F36" s="50">
        <v>36337</v>
      </c>
      <c r="G36" s="50">
        <v>27452</v>
      </c>
      <c r="H36" s="200">
        <v>0.8</v>
      </c>
    </row>
    <row r="37" spans="1:13" x14ac:dyDescent="0.2">
      <c r="A37" s="50" t="s">
        <v>345</v>
      </c>
      <c r="B37" s="50"/>
      <c r="C37" s="200"/>
      <c r="D37" s="50"/>
      <c r="E37" s="200"/>
      <c r="F37" s="50"/>
      <c r="G37" s="50"/>
      <c r="H37" s="200">
        <v>0.8</v>
      </c>
    </row>
    <row r="38" spans="1:13" x14ac:dyDescent="0.2">
      <c r="A38" s="50" t="s">
        <v>1085</v>
      </c>
      <c r="B38" s="50">
        <v>0</v>
      </c>
      <c r="C38" s="200">
        <v>0.432</v>
      </c>
      <c r="D38" s="50">
        <v>15000</v>
      </c>
      <c r="E38" s="200">
        <v>0.41899999999999998</v>
      </c>
      <c r="F38" s="50">
        <v>15279</v>
      </c>
      <c r="G38" s="50">
        <v>5088</v>
      </c>
      <c r="H38" s="200">
        <v>0.433</v>
      </c>
    </row>
    <row r="39" spans="1:13" x14ac:dyDescent="0.2">
      <c r="A39" s="50" t="s">
        <v>1086</v>
      </c>
      <c r="B39" s="50">
        <v>51521</v>
      </c>
      <c r="C39" s="200">
        <v>4.2690000000000001</v>
      </c>
      <c r="D39" s="50">
        <v>51925</v>
      </c>
      <c r="E39" s="200">
        <v>4.133</v>
      </c>
      <c r="F39" s="50">
        <v>52473</v>
      </c>
      <c r="G39" s="50">
        <v>50244</v>
      </c>
      <c r="H39" s="200">
        <v>4.2750000000000004</v>
      </c>
    </row>
    <row r="40" spans="1:13" x14ac:dyDescent="0.2">
      <c r="A40" s="50" t="s">
        <v>345</v>
      </c>
      <c r="B40" s="50"/>
      <c r="C40" s="200"/>
      <c r="D40" s="50"/>
      <c r="E40" s="200"/>
      <c r="F40" s="50"/>
      <c r="G40" s="50"/>
      <c r="H40" s="200">
        <v>4.7080000000000002</v>
      </c>
    </row>
    <row r="41" spans="1:13" x14ac:dyDescent="0.2">
      <c r="A41" s="50" t="s">
        <v>1087</v>
      </c>
      <c r="B41" s="50">
        <v>9000</v>
      </c>
      <c r="C41" s="38">
        <v>0.45900000000000002</v>
      </c>
      <c r="D41" s="50">
        <v>9000</v>
      </c>
      <c r="E41" s="38">
        <v>0.44800000000000001</v>
      </c>
      <c r="F41" s="50">
        <v>9067</v>
      </c>
      <c r="G41" s="50">
        <v>8852</v>
      </c>
      <c r="H41" s="35">
        <v>0.45600000000000002</v>
      </c>
    </row>
    <row r="42" spans="1:13" x14ac:dyDescent="0.2">
      <c r="A42" s="50" t="s">
        <v>1088</v>
      </c>
      <c r="B42" s="50">
        <v>75740</v>
      </c>
      <c r="C42" s="38">
        <v>3.9220000000000002</v>
      </c>
      <c r="D42" s="50">
        <v>76030</v>
      </c>
      <c r="E42" s="38">
        <v>3.8290000000000002</v>
      </c>
      <c r="F42" s="50">
        <v>76608</v>
      </c>
      <c r="G42" s="50">
        <v>74544</v>
      </c>
      <c r="H42" s="35">
        <v>3.8980000000000001</v>
      </c>
    </row>
    <row r="43" spans="1:13" x14ac:dyDescent="0.25">
      <c r="A43" s="50" t="s">
        <v>1089</v>
      </c>
      <c r="B43" s="50">
        <v>9660</v>
      </c>
      <c r="C43" s="38">
        <v>0.49099999999999999</v>
      </c>
      <c r="D43" s="50">
        <v>9641</v>
      </c>
      <c r="E43" s="38">
        <v>0.47899999999999998</v>
      </c>
      <c r="F43" s="50">
        <v>9716</v>
      </c>
      <c r="G43" s="50">
        <v>9478</v>
      </c>
      <c r="H43" s="35">
        <v>0.48799999999999999</v>
      </c>
      <c r="J43" s="664" t="str">
        <f>CONCATENATE("Estimated Value Of One Mill For ",H1,"")</f>
        <v>Estimated Value Of One Mill For 2024</v>
      </c>
      <c r="K43" s="670"/>
      <c r="L43" s="670"/>
      <c r="M43" s="671"/>
    </row>
    <row r="44" spans="1:13" x14ac:dyDescent="0.25">
      <c r="A44" s="50" t="s">
        <v>345</v>
      </c>
      <c r="B44" s="50" t="str">
        <f>IF(CARES!$C$57&lt;&gt;0,CARES!$C$57,"  ")</f>
        <v xml:space="preserve">  </v>
      </c>
      <c r="C44" s="38"/>
      <c r="D44" s="50" t="str">
        <f>IF(CARES!$D$57&lt;&gt;0,CARES!$D$57,"  ")</f>
        <v xml:space="preserve">  </v>
      </c>
      <c r="E44" s="38"/>
      <c r="F44" s="50" t="str">
        <f>IF(CARES!$E$57&lt;&gt;0,CARES!$E$57,"  ")</f>
        <v xml:space="preserve">  </v>
      </c>
      <c r="G44" s="50"/>
      <c r="H44" s="35">
        <v>4.8419999999999996</v>
      </c>
      <c r="J44" s="266"/>
      <c r="K44" s="267"/>
      <c r="L44" s="267"/>
      <c r="M44" s="268"/>
    </row>
    <row r="45" spans="1:13" x14ac:dyDescent="0.25">
      <c r="A45" s="50" t="s">
        <v>1090</v>
      </c>
      <c r="B45" s="50">
        <v>103019</v>
      </c>
      <c r="C45" s="38">
        <v>3.3069999999999999</v>
      </c>
      <c r="D45" s="50">
        <v>107321</v>
      </c>
      <c r="E45" s="38">
        <v>3.1880000000000002</v>
      </c>
      <c r="F45" s="50">
        <v>124252</v>
      </c>
      <c r="G45" s="50">
        <v>100000</v>
      </c>
      <c r="H45" s="732">
        <v>3.17</v>
      </c>
      <c r="J45" s="269" t="s">
        <v>286</v>
      </c>
      <c r="K45" s="270"/>
      <c r="L45" s="270"/>
      <c r="M45" s="271">
        <f>ROUND(F70/1000,0)</f>
        <v>158485</v>
      </c>
    </row>
    <row r="46" spans="1:13" x14ac:dyDescent="0.2">
      <c r="A46" s="50" t="s">
        <v>1094</v>
      </c>
      <c r="B46" s="50">
        <v>27053</v>
      </c>
      <c r="C46" s="38"/>
      <c r="D46" s="50">
        <v>100000</v>
      </c>
      <c r="E46" s="38"/>
      <c r="F46" s="50">
        <v>182000</v>
      </c>
      <c r="G46" s="50"/>
      <c r="H46" s="732"/>
    </row>
    <row r="47" spans="1:13" x14ac:dyDescent="0.25">
      <c r="A47" s="50" t="s">
        <v>345</v>
      </c>
      <c r="B47" s="50" t="str">
        <f>IF('No Levy Page 24'!$C$27&lt;&gt;0,'No Levy Page 24'!$C$27,"  ")</f>
        <v xml:space="preserve">  </v>
      </c>
      <c r="C47" s="38"/>
      <c r="D47" s="50" t="str">
        <f>IF('No Levy Page 24'!$D$27&lt;&gt;0,'No Levy Page 24'!$D$27,"  ")</f>
        <v xml:space="preserve">  </v>
      </c>
      <c r="E47" s="38"/>
      <c r="F47" s="50" t="str">
        <f>IF('No Levy Page 24'!$E$27&lt;&gt;0,'No Levy Page 24'!$E$27,"  ")</f>
        <v xml:space="preserve">  </v>
      </c>
      <c r="G47" s="50"/>
      <c r="H47" s="732">
        <v>3.17</v>
      </c>
      <c r="J47" s="664" t="str">
        <f>CONCATENATE("Want The Mill Rate The Same As For ",H1-1,"?")</f>
        <v>Want The Mill Rate The Same As For 2023?</v>
      </c>
      <c r="K47" s="670"/>
      <c r="L47" s="670"/>
      <c r="M47" s="671"/>
    </row>
    <row r="48" spans="1:13" x14ac:dyDescent="0.25">
      <c r="A48" s="50" t="s">
        <v>1091</v>
      </c>
      <c r="B48" s="50">
        <v>460671</v>
      </c>
      <c r="C48" s="38">
        <v>5.8179999999999996</v>
      </c>
      <c r="D48" s="50">
        <v>178830</v>
      </c>
      <c r="E48" s="38">
        <v>4.6159999999999997</v>
      </c>
      <c r="F48" s="50">
        <v>216083</v>
      </c>
      <c r="G48" s="50">
        <v>90000</v>
      </c>
      <c r="H48" s="35">
        <v>2.4329999999999998</v>
      </c>
      <c r="J48" s="273"/>
      <c r="K48" s="267"/>
      <c r="L48" s="267"/>
      <c r="M48" s="274"/>
    </row>
    <row r="49" spans="1:13" x14ac:dyDescent="0.25">
      <c r="A49" s="50" t="s">
        <v>345</v>
      </c>
      <c r="B49" s="50" t="str">
        <f>IF('No Lvey Pg 25'!$C$27&lt;&gt;0,'No Lvey Pg 25'!$C$27,"  ")</f>
        <v xml:space="preserve">  </v>
      </c>
      <c r="C49" s="38"/>
      <c r="D49" s="50" t="str">
        <f>IF('No Lvey Pg 25'!$D$27&lt;&gt;0,'No Lvey Pg 25'!$D$27,"  ")</f>
        <v xml:space="preserve">  </v>
      </c>
      <c r="E49" s="38"/>
      <c r="F49" s="50" t="str">
        <f>IF('No Lvey Pg 25'!$E$27&lt;&gt;0,'No Lvey Pg 25'!$E$27,"  ")</f>
        <v xml:space="preserve">  </v>
      </c>
      <c r="G49" s="50"/>
      <c r="H49" s="35">
        <v>4.5090000000000003</v>
      </c>
      <c r="J49" s="273" t="str">
        <f>CONCATENATE("",H1-1," Mill Rate Was:")</f>
        <v>2023 Mill Rate Was:</v>
      </c>
      <c r="K49" s="267"/>
      <c r="L49" s="267"/>
      <c r="M49" s="275">
        <f>E65</f>
        <v>64.949000000000012</v>
      </c>
    </row>
    <row r="50" spans="1:13" x14ac:dyDescent="0.25">
      <c r="A50" s="50" t="s">
        <v>1092</v>
      </c>
      <c r="B50" s="50">
        <v>98017</v>
      </c>
      <c r="C50" s="38">
        <v>1.9139999999999999</v>
      </c>
      <c r="D50" s="50">
        <v>75000</v>
      </c>
      <c r="E50" s="38">
        <v>0.58399999999999996</v>
      </c>
      <c r="F50" s="50">
        <v>108600</v>
      </c>
      <c r="G50" s="50">
        <v>64653</v>
      </c>
      <c r="H50" s="734" t="s">
        <v>1102</v>
      </c>
      <c r="J50" s="276" t="str">
        <f>CONCATENATE("",H1," Tax Levy Fund Expenditures Must Be")</f>
        <v>2024 Tax Levy Fund Expenditures Must Be</v>
      </c>
      <c r="K50" s="277"/>
      <c r="L50" s="277"/>
      <c r="M50" s="274"/>
    </row>
    <row r="51" spans="1:13" x14ac:dyDescent="0.25">
      <c r="A51" s="50" t="s">
        <v>1093</v>
      </c>
      <c r="B51" s="50" t="str">
        <f>IF('No Lvey Pg 26'!$C$27&lt;&gt;0,'No Lvey Pg 26'!$C$27,"  ")</f>
        <v xml:space="preserve">  </v>
      </c>
      <c r="C51" s="38"/>
      <c r="D51" s="50" t="str">
        <f>IF('No Lvey Pg 26'!$D$27&lt;&gt;0,'No Lvey Pg 26'!$D$27,"  ")</f>
        <v xml:space="preserve">  </v>
      </c>
      <c r="E51" s="38"/>
      <c r="F51" s="50">
        <v>11970</v>
      </c>
      <c r="G51" s="50"/>
      <c r="H51" s="35"/>
      <c r="J51" s="276" t="str">
        <f>IF(M51&gt;0,"Increased By:","")</f>
        <v>Increased By:</v>
      </c>
      <c r="K51" s="277"/>
      <c r="L51" s="277"/>
      <c r="M51" s="284">
        <f>IF(M59&lt;0,M59*-1,0)</f>
        <v>9192365</v>
      </c>
    </row>
    <row r="52" spans="1:13" x14ac:dyDescent="0.25">
      <c r="A52" s="50" t="s">
        <v>345</v>
      </c>
      <c r="B52" s="50"/>
      <c r="C52" s="38"/>
      <c r="D52" s="50"/>
      <c r="E52" s="38"/>
      <c r="F52" s="50"/>
      <c r="G52" s="50"/>
      <c r="H52" s="733" t="s">
        <v>1104</v>
      </c>
      <c r="J52" s="276"/>
      <c r="K52" s="277"/>
      <c r="L52" s="277"/>
      <c r="M52" s="284"/>
    </row>
    <row r="53" spans="1:13" x14ac:dyDescent="0.2">
      <c r="A53" s="50" t="s">
        <v>1095</v>
      </c>
      <c r="B53" s="50">
        <v>82409</v>
      </c>
      <c r="C53" s="77">
        <v>6.14</v>
      </c>
      <c r="D53" s="50">
        <v>84971</v>
      </c>
      <c r="E53" s="38">
        <v>5.7709999999999999</v>
      </c>
      <c r="F53" s="50">
        <v>84872</v>
      </c>
      <c r="G53" s="50">
        <v>81435</v>
      </c>
      <c r="H53" s="35">
        <v>5.6619999999999999</v>
      </c>
      <c r="J53" s="285" t="str">
        <f>IF(M53&lt;0,"Reduced By:","")</f>
        <v/>
      </c>
      <c r="K53" s="286"/>
      <c r="L53" s="286"/>
      <c r="M53" s="287">
        <f>IF(M59&gt;0,M59*-1,0)</f>
        <v>0</v>
      </c>
    </row>
    <row r="54" spans="1:13" x14ac:dyDescent="0.25">
      <c r="A54" s="50" t="s">
        <v>1096</v>
      </c>
      <c r="B54" s="50">
        <v>12556</v>
      </c>
      <c r="C54" s="38"/>
      <c r="D54" s="50" t="str">
        <f>IF('No Levy Page 27'!$D$27&lt;&gt;0,'No Levy Page 27'!$D$27,"  ")</f>
        <v xml:space="preserve">  </v>
      </c>
      <c r="E54" s="38"/>
      <c r="F54" s="50">
        <v>10514</v>
      </c>
      <c r="G54" s="50"/>
      <c r="H54" s="35"/>
      <c r="J54" s="272"/>
      <c r="K54" s="272"/>
      <c r="L54" s="272"/>
      <c r="M54" s="272"/>
    </row>
    <row r="55" spans="1:13" x14ac:dyDescent="0.25">
      <c r="A55" s="50" t="s">
        <v>345</v>
      </c>
      <c r="B55" s="50" t="str">
        <f>IF('No Levy Page 27'!$C$57&lt;&gt;0,'No Levy Page 27'!$C$57,"  ")</f>
        <v xml:space="preserve">  </v>
      </c>
      <c r="C55" s="38"/>
      <c r="D55" s="50" t="str">
        <f>IF('No Levy Page 27'!$D$57&lt;&gt;0,'No Levy Page 27'!$D$57,"  ")</f>
        <v xml:space="preserve">  </v>
      </c>
      <c r="E55" s="38"/>
      <c r="F55" s="50" t="str">
        <f>IF('No Levy Page 27'!$E$57&lt;&gt;0,'No Levy Page 27'!$E$57,"  ")</f>
        <v xml:space="preserve">  </v>
      </c>
      <c r="G55" s="50"/>
      <c r="H55" s="35">
        <v>5.6630000000000003</v>
      </c>
      <c r="J55" s="664" t="str">
        <f>CONCATENATE("Impact On Keeping The Same Mill Rate As For ",H1-1,"")</f>
        <v>Impact On Keeping The Same Mill Rate As For 2023</v>
      </c>
      <c r="K55" s="665"/>
      <c r="L55" s="665"/>
      <c r="M55" s="666"/>
    </row>
    <row r="56" spans="1:13" x14ac:dyDescent="0.25">
      <c r="A56" s="50" t="s">
        <v>1097</v>
      </c>
      <c r="B56" s="50">
        <v>91000</v>
      </c>
      <c r="C56" s="77">
        <v>2.71</v>
      </c>
      <c r="D56" s="50">
        <v>109926</v>
      </c>
      <c r="E56" s="38">
        <v>2.6110000000000002</v>
      </c>
      <c r="F56" s="50">
        <v>101960</v>
      </c>
      <c r="G56" s="50">
        <v>83855</v>
      </c>
      <c r="H56" s="35">
        <v>2.5819999999999999</v>
      </c>
      <c r="J56" s="273"/>
      <c r="K56" s="267"/>
      <c r="L56" s="267"/>
      <c r="M56" s="274"/>
    </row>
    <row r="57" spans="1:13" x14ac:dyDescent="0.25">
      <c r="A57" s="50" t="s">
        <v>345</v>
      </c>
      <c r="B57" s="50" t="str">
        <f>IF('No Levy Page 28'!$C$57&lt;&gt;0,'No Levy Page 28'!$C$57,"  ")</f>
        <v xml:space="preserve">  </v>
      </c>
      <c r="C57" s="38"/>
      <c r="D57" s="50" t="str">
        <f>IF('No Levy Page 28'!$D$57&lt;&gt;0,'No Levy Page 28'!$D$57,"  ")</f>
        <v xml:space="preserve">  </v>
      </c>
      <c r="E57" s="38"/>
      <c r="F57" s="50" t="str">
        <f>IF('No Levy Page 28'!$E$57&lt;&gt;0,'No Levy Page 28'!$E$57,"  ")</f>
        <v xml:space="preserve">  </v>
      </c>
      <c r="G57" s="50"/>
      <c r="H57" s="35">
        <v>2.5819999999999999</v>
      </c>
      <c r="J57" s="273" t="str">
        <f>CONCATENATE("",H1," Ad Valorem Tax Revenue:")</f>
        <v>2024 Ad Valorem Tax Revenue:</v>
      </c>
      <c r="K57" s="267"/>
      <c r="L57" s="267"/>
      <c r="M57" s="268">
        <f>G65</f>
        <v>1101092</v>
      </c>
    </row>
    <row r="58" spans="1:13" x14ac:dyDescent="0.25">
      <c r="A58" s="76" t="s">
        <v>1098</v>
      </c>
      <c r="B58" s="50">
        <v>17063</v>
      </c>
      <c r="C58" s="38">
        <v>1.3420000000000001</v>
      </c>
      <c r="D58" s="50">
        <v>23680</v>
      </c>
      <c r="E58" s="38">
        <v>1.2989999999999999</v>
      </c>
      <c r="F58" s="50">
        <v>24726</v>
      </c>
      <c r="G58" s="50">
        <v>15791</v>
      </c>
      <c r="H58" s="35">
        <v>1.3440000000000001</v>
      </c>
      <c r="J58" s="273" t="str">
        <f>CONCATENATE("",H1-1," Ad Valorem Tax Revenue:")</f>
        <v>2023 Ad Valorem Tax Revenue:</v>
      </c>
      <c r="K58" s="267"/>
      <c r="L58" s="267"/>
      <c r="M58" s="280">
        <f>ROUND(F70*M49/1000,0)</f>
        <v>10293457</v>
      </c>
    </row>
    <row r="59" spans="1:13" x14ac:dyDescent="0.25">
      <c r="A59" s="76" t="s">
        <v>1099</v>
      </c>
      <c r="B59" s="50" t="str">
        <f>IF('Non-Budgeted Funds B'!$K$28&lt;&gt;0,'Non-Budgeted Funds B'!$K$28,"  ")</f>
        <v xml:space="preserve">  </v>
      </c>
      <c r="C59" s="38"/>
      <c r="D59" s="50">
        <v>7500</v>
      </c>
      <c r="E59" s="38"/>
      <c r="F59" s="50">
        <v>7500</v>
      </c>
      <c r="G59" s="50"/>
      <c r="H59" s="35"/>
      <c r="J59" s="278" t="s">
        <v>287</v>
      </c>
      <c r="K59" s="279"/>
      <c r="L59" s="279"/>
      <c r="M59" s="271">
        <f>SUM(M57-M58)</f>
        <v>-9192365</v>
      </c>
    </row>
    <row r="60" spans="1:13" x14ac:dyDescent="0.25">
      <c r="A60" s="76" t="s">
        <v>345</v>
      </c>
      <c r="B60" s="50" t="str">
        <f>IF('Non-Budgeted Funds C'!$K$28&lt;&gt;0,'Non-Budgeted Funds C'!$K$28,"  ")</f>
        <v xml:space="preserve">  </v>
      </c>
      <c r="C60" s="38"/>
      <c r="D60" s="50"/>
      <c r="E60" s="38"/>
      <c r="F60" s="50"/>
      <c r="G60" s="50"/>
      <c r="H60" s="35">
        <v>1.3440000000000001</v>
      </c>
      <c r="J60" s="272"/>
      <c r="K60" s="272"/>
      <c r="L60" s="272"/>
      <c r="M60" s="272"/>
    </row>
    <row r="61" spans="1:13" x14ac:dyDescent="0.25">
      <c r="A61" s="496" t="s">
        <v>1100</v>
      </c>
      <c r="B61" s="497">
        <v>2498</v>
      </c>
      <c r="C61" s="127">
        <v>0.44400000000000001</v>
      </c>
      <c r="D61" s="497">
        <v>15564</v>
      </c>
      <c r="E61" s="127">
        <v>0.43099999999999999</v>
      </c>
      <c r="F61" s="497">
        <v>9267</v>
      </c>
      <c r="G61" s="497">
        <v>3000</v>
      </c>
      <c r="H61" s="498">
        <v>0.44700000000000001</v>
      </c>
      <c r="J61" s="272"/>
      <c r="K61" s="272"/>
      <c r="L61" s="272"/>
      <c r="M61" s="272"/>
    </row>
    <row r="62" spans="1:13" x14ac:dyDescent="0.25">
      <c r="A62" s="496" t="s">
        <v>345</v>
      </c>
      <c r="B62" s="497"/>
      <c r="C62" s="127"/>
      <c r="D62" s="497"/>
      <c r="E62" s="127"/>
      <c r="F62" s="497"/>
      <c r="G62" s="497"/>
      <c r="H62" s="498">
        <v>0.44800000000000001</v>
      </c>
      <c r="J62" s="272"/>
      <c r="K62" s="272"/>
      <c r="L62" s="272"/>
      <c r="M62" s="272"/>
    </row>
    <row r="63" spans="1:13" x14ac:dyDescent="0.25">
      <c r="A63" s="496" t="s">
        <v>1101</v>
      </c>
      <c r="B63" s="497">
        <v>3196</v>
      </c>
      <c r="C63" s="127">
        <v>0.61599999999999999</v>
      </c>
      <c r="D63" s="497">
        <v>3235</v>
      </c>
      <c r="E63" s="127">
        <v>0.59899999999999998</v>
      </c>
      <c r="F63" s="497">
        <v>3201</v>
      </c>
      <c r="G63" s="497">
        <v>3164</v>
      </c>
      <c r="H63" s="735">
        <v>0.62</v>
      </c>
      <c r="J63" s="272"/>
      <c r="K63" s="272"/>
      <c r="L63" s="272"/>
      <c r="M63" s="272"/>
    </row>
    <row r="64" spans="1:13" x14ac:dyDescent="0.25">
      <c r="A64" s="496" t="s">
        <v>345</v>
      </c>
      <c r="B64" s="497"/>
      <c r="C64" s="127"/>
      <c r="D64" s="497"/>
      <c r="E64" s="127"/>
      <c r="F64" s="497"/>
      <c r="G64" s="497"/>
      <c r="H64" s="735">
        <v>0.62</v>
      </c>
      <c r="J64" s="272"/>
      <c r="K64" s="272"/>
      <c r="L64" s="272"/>
      <c r="M64" s="272"/>
    </row>
    <row r="65" spans="1:13" ht="16.5" thickBot="1" x14ac:dyDescent="0.3">
      <c r="A65" s="500" t="s">
        <v>77</v>
      </c>
      <c r="B65" s="203">
        <f>SUM(B16:B64)</f>
        <v>1573434</v>
      </c>
      <c r="C65" s="501">
        <v>69.805000000000007</v>
      </c>
      <c r="D65" s="203">
        <f>SUM(D16:D64)</f>
        <v>1478667</v>
      </c>
      <c r="E65" s="501">
        <f>SUM(E16:E64)</f>
        <v>64.949000000000012</v>
      </c>
      <c r="F65" s="203">
        <f>SUM(F16:F64)</f>
        <v>1825020</v>
      </c>
      <c r="G65" s="502">
        <f>SUM(G16:G64)</f>
        <v>1101092</v>
      </c>
      <c r="H65" s="501">
        <v>64.082999999999998</v>
      </c>
      <c r="J65" s="273"/>
      <c r="K65" s="267"/>
      <c r="L65" s="267"/>
      <c r="M65" s="274"/>
    </row>
    <row r="66" spans="1:13" ht="16.5" thickTop="1" x14ac:dyDescent="0.25">
      <c r="A66" s="678" t="s">
        <v>358</v>
      </c>
      <c r="B66" s="679"/>
      <c r="C66" s="679"/>
      <c r="D66" s="679"/>
      <c r="E66" s="679"/>
      <c r="F66" s="679"/>
      <c r="G66" s="680"/>
      <c r="H66" s="499">
        <v>65.271000000000001</v>
      </c>
      <c r="J66" s="273" t="str">
        <f>CONCATENATE("Current ",H1," Estimated Mill Rate:")</f>
        <v>Current 2024 Estimated Mill Rate:</v>
      </c>
      <c r="K66" s="267"/>
      <c r="L66" s="267"/>
      <c r="M66" s="275">
        <f>H65</f>
        <v>64.082999999999998</v>
      </c>
    </row>
    <row r="67" spans="1:13" x14ac:dyDescent="0.25">
      <c r="A67" s="25" t="s">
        <v>135</v>
      </c>
      <c r="B67" s="421"/>
      <c r="C67" s="201"/>
      <c r="D67" s="421">
        <v>42132</v>
      </c>
      <c r="E67" s="161"/>
      <c r="F67" s="421">
        <v>32405</v>
      </c>
      <c r="G67" s="26"/>
      <c r="H67" s="26"/>
      <c r="J67" s="273" t="str">
        <f>CONCATENATE("Desired ",H1," Mill Rate:")</f>
        <v>Desired 2024 Mill Rate:</v>
      </c>
      <c r="K67" s="267"/>
      <c r="L67" s="267"/>
      <c r="M67" s="281">
        <v>45</v>
      </c>
    </row>
    <row r="68" spans="1:13" ht="16.5" thickBot="1" x14ac:dyDescent="0.3">
      <c r="A68" s="25" t="s">
        <v>136</v>
      </c>
      <c r="B68" s="203">
        <f>SUM(B65)</f>
        <v>1573434</v>
      </c>
      <c r="C68" s="26"/>
      <c r="D68" s="203">
        <v>1436535</v>
      </c>
      <c r="E68" s="201"/>
      <c r="F68" s="203">
        <v>1792615</v>
      </c>
      <c r="G68" s="26"/>
      <c r="H68" s="26"/>
      <c r="J68" s="273" t="str">
        <f>CONCATENATE("",H1," Ad Valorem Tax:")</f>
        <v>2024 Ad Valorem Tax:</v>
      </c>
      <c r="K68" s="267"/>
      <c r="L68" s="267"/>
      <c r="M68" s="280">
        <f>ROUND(F70*M67/1000,0)</f>
        <v>7131835</v>
      </c>
    </row>
    <row r="69" spans="1:13" ht="17.25" thickTop="1" thickBot="1" x14ac:dyDescent="0.3">
      <c r="A69" s="25" t="s">
        <v>137</v>
      </c>
      <c r="B69" s="72">
        <v>1219179</v>
      </c>
      <c r="C69" s="26"/>
      <c r="D69" s="72">
        <v>1139249</v>
      </c>
      <c r="E69" s="26"/>
      <c r="F69" s="203">
        <v>1101092</v>
      </c>
      <c r="G69" s="26"/>
      <c r="H69" s="26"/>
      <c r="J69" s="278" t="str">
        <f>CONCATENATE("",H1," Tax Levy Fund Exp. Changed By:")</f>
        <v>2024 Tax Levy Fund Exp. Changed By:</v>
      </c>
      <c r="K69" s="279"/>
      <c r="L69" s="279"/>
      <c r="M69" s="271">
        <f>IF(M67=0,0,(M68-G65))</f>
        <v>6030743</v>
      </c>
    </row>
    <row r="70" spans="1:13" ht="16.5" thickTop="1" x14ac:dyDescent="0.2">
      <c r="A70" s="25" t="s">
        <v>138</v>
      </c>
      <c r="B70" s="50">
        <v>151940521</v>
      </c>
      <c r="C70" s="26"/>
      <c r="D70" s="50">
        <v>158358266</v>
      </c>
      <c r="E70" s="26"/>
      <c r="F70" s="50">
        <v>158485220</v>
      </c>
      <c r="G70" s="26"/>
      <c r="H70" s="26"/>
    </row>
    <row r="71" spans="1:13" x14ac:dyDescent="0.2">
      <c r="A71" s="26"/>
      <c r="B71" s="26"/>
      <c r="C71" s="26"/>
      <c r="D71" s="26"/>
      <c r="E71" s="26"/>
      <c r="F71" s="26"/>
      <c r="G71" s="26"/>
      <c r="H71" s="26"/>
      <c r="J71" s="672" t="s">
        <v>534</v>
      </c>
      <c r="K71" s="673"/>
      <c r="L71" s="673"/>
      <c r="M71" s="676" t="str">
        <f>IF(H65&gt;H66, "Yes", "No")</f>
        <v>No</v>
      </c>
    </row>
    <row r="72" spans="1:13" x14ac:dyDescent="0.2">
      <c r="A72" s="25" t="s">
        <v>139</v>
      </c>
      <c r="B72" s="26"/>
      <c r="C72" s="26"/>
      <c r="D72" s="26"/>
      <c r="E72" s="26"/>
      <c r="F72" s="26"/>
      <c r="G72" s="26"/>
      <c r="H72" s="53"/>
      <c r="J72" s="674"/>
      <c r="K72" s="675"/>
      <c r="L72" s="675"/>
      <c r="M72" s="677"/>
    </row>
    <row r="73" spans="1:13" x14ac:dyDescent="0.2">
      <c r="A73" s="25" t="s">
        <v>140</v>
      </c>
      <c r="B73" s="202">
        <f>H1-3</f>
        <v>2021</v>
      </c>
      <c r="C73" s="26"/>
      <c r="D73" s="202">
        <f>H1-2</f>
        <v>2022</v>
      </c>
      <c r="E73" s="26"/>
      <c r="F73" s="202">
        <f>H1-1</f>
        <v>2023</v>
      </c>
      <c r="G73" s="26"/>
      <c r="H73" s="53"/>
      <c r="J73" s="645" t="str">
        <f>IF(M71="Yes", "Follow procedure prescirbed by KSA 79-2988 to exceed the Revenue Neutral Rate.", " ")</f>
        <v xml:space="preserve"> </v>
      </c>
      <c r="K73" s="645"/>
      <c r="L73" s="645"/>
      <c r="M73" s="645"/>
    </row>
    <row r="74" spans="1:13" x14ac:dyDescent="0.2">
      <c r="A74" s="25" t="s">
        <v>141</v>
      </c>
      <c r="B74" s="50">
        <f>inputPrYr!D115</f>
        <v>0</v>
      </c>
      <c r="C74" s="26"/>
      <c r="D74" s="50">
        <f>inputPrYr!E115</f>
        <v>0</v>
      </c>
      <c r="E74" s="26"/>
      <c r="F74" s="50">
        <f>Debt!F19</f>
        <v>0</v>
      </c>
      <c r="G74" s="26"/>
      <c r="H74" s="53"/>
      <c r="J74" s="646"/>
      <c r="K74" s="646"/>
      <c r="L74" s="646"/>
      <c r="M74" s="646"/>
    </row>
    <row r="75" spans="1:13" x14ac:dyDescent="0.2">
      <c r="A75" s="25" t="s">
        <v>142</v>
      </c>
      <c r="B75" s="50">
        <f>inputPrYr!D116</f>
        <v>0</v>
      </c>
      <c r="C75" s="26"/>
      <c r="D75" s="50">
        <f>inputPrYr!E116</f>
        <v>0</v>
      </c>
      <c r="E75" s="26"/>
      <c r="F75" s="50">
        <f>Debt!F27</f>
        <v>0</v>
      </c>
      <c r="G75" s="26"/>
      <c r="H75" s="53"/>
      <c r="J75" s="646"/>
      <c r="K75" s="646"/>
      <c r="L75" s="646"/>
      <c r="M75" s="646"/>
    </row>
    <row r="76" spans="1:13" x14ac:dyDescent="0.2">
      <c r="A76" s="25" t="s">
        <v>132</v>
      </c>
      <c r="B76" s="50">
        <f>inputPrYr!D117</f>
        <v>0</v>
      </c>
      <c r="C76" s="26"/>
      <c r="D76" s="50">
        <f>inputPrYr!E117</f>
        <v>0</v>
      </c>
      <c r="E76" s="26"/>
      <c r="F76" s="50">
        <f>Debt!F36</f>
        <v>0</v>
      </c>
      <c r="G76" s="26"/>
      <c r="H76" s="53"/>
    </row>
    <row r="77" spans="1:13" x14ac:dyDescent="0.2">
      <c r="A77" s="25" t="s">
        <v>189</v>
      </c>
      <c r="B77" s="50">
        <f>inputPrYr!D118</f>
        <v>0</v>
      </c>
      <c r="C77" s="26"/>
      <c r="D77" s="50">
        <f>inputPrYr!E118</f>
        <v>0</v>
      </c>
      <c r="E77" s="26"/>
      <c r="F77" s="50">
        <f>'LP Form'!F37</f>
        <v>0</v>
      </c>
      <c r="G77" s="26"/>
      <c r="H77" s="53"/>
    </row>
    <row r="78" spans="1:13" ht="16.5" customHeight="1" thickBot="1" x14ac:dyDescent="0.25">
      <c r="A78" s="25" t="s">
        <v>143</v>
      </c>
      <c r="B78" s="203">
        <f>SUM(B74:B77)</f>
        <v>0</v>
      </c>
      <c r="C78" s="26"/>
      <c r="D78" s="203">
        <f>SUM(D74:D77)</f>
        <v>0</v>
      </c>
      <c r="E78" s="26"/>
      <c r="F78" s="203">
        <f>SUM(F74:F77)</f>
        <v>0</v>
      </c>
      <c r="G78" s="26"/>
      <c r="H78" s="53"/>
    </row>
    <row r="79" spans="1:13" ht="16.5" customHeight="1" thickTop="1" x14ac:dyDescent="0.2">
      <c r="A79" s="25"/>
      <c r="B79" s="57"/>
      <c r="C79" s="26"/>
      <c r="D79" s="57"/>
      <c r="E79" s="26"/>
      <c r="F79" s="57"/>
      <c r="G79" s="26"/>
      <c r="H79" s="53"/>
    </row>
    <row r="80" spans="1:13" ht="16.5" customHeight="1" x14ac:dyDescent="0.2">
      <c r="A80" s="25" t="s">
        <v>1103</v>
      </c>
      <c r="B80" s="26"/>
      <c r="C80" s="26"/>
      <c r="D80" s="26"/>
      <c r="E80" s="26"/>
      <c r="F80" s="26"/>
      <c r="G80" s="26"/>
      <c r="H80" s="53"/>
    </row>
    <row r="81" spans="1:8" x14ac:dyDescent="0.2">
      <c r="A81" s="425" t="s">
        <v>535</v>
      </c>
      <c r="B81" s="26"/>
      <c r="C81" s="26"/>
      <c r="D81" s="26"/>
      <c r="E81" s="26"/>
      <c r="F81" s="26"/>
      <c r="G81" s="26"/>
      <c r="H81" s="53"/>
    </row>
    <row r="82" spans="1:8" x14ac:dyDescent="0.2">
      <c r="A82" s="26"/>
      <c r="B82" s="26"/>
      <c r="C82" s="26"/>
      <c r="D82" s="26"/>
      <c r="E82" s="26"/>
      <c r="F82" s="26"/>
      <c r="G82" s="26"/>
      <c r="H82" s="53"/>
    </row>
    <row r="83" spans="1:8" x14ac:dyDescent="0.2">
      <c r="A83" s="669" t="s">
        <v>1105</v>
      </c>
      <c r="B83" s="669"/>
      <c r="C83" s="26"/>
      <c r="D83" s="26"/>
      <c r="E83" s="26"/>
      <c r="F83" s="26"/>
      <c r="G83" s="26"/>
      <c r="H83" s="53"/>
    </row>
    <row r="84" spans="1:8" x14ac:dyDescent="0.2">
      <c r="A84" s="686" t="s">
        <v>69</v>
      </c>
      <c r="B84" s="686"/>
      <c r="C84" s="26"/>
      <c r="D84" s="26"/>
      <c r="E84" s="26"/>
      <c r="F84" s="26"/>
      <c r="G84" s="26"/>
      <c r="H84" s="53"/>
    </row>
    <row r="85" spans="1:8" x14ac:dyDescent="0.2">
      <c r="A85" s="26"/>
      <c r="B85" s="26"/>
      <c r="C85" s="26"/>
      <c r="D85" s="125" t="s">
        <v>90</v>
      </c>
      <c r="E85" s="362">
        <v>21</v>
      </c>
      <c r="F85" s="26"/>
      <c r="G85" s="26"/>
      <c r="H85" s="53"/>
    </row>
    <row r="86" spans="1:8" x14ac:dyDescent="0.2">
      <c r="A86" s="56"/>
      <c r="D86" s="56"/>
      <c r="E86" s="56"/>
      <c r="F86" s="56"/>
      <c r="G86" s="56"/>
      <c r="H86" s="56"/>
    </row>
  </sheetData>
  <mergeCells count="29">
    <mergeCell ref="A84:B84"/>
    <mergeCell ref="A8:H8"/>
    <mergeCell ref="J71:L72"/>
    <mergeCell ref="M71:M72"/>
    <mergeCell ref="J73:M75"/>
    <mergeCell ref="A83:B83"/>
    <mergeCell ref="A9:H9"/>
    <mergeCell ref="A10:H10"/>
    <mergeCell ref="A11:H11"/>
    <mergeCell ref="B13:C13"/>
    <mergeCell ref="D13:E13"/>
    <mergeCell ref="F13:H13"/>
    <mergeCell ref="A66:G66"/>
    <mergeCell ref="B14:B15"/>
    <mergeCell ref="C14:C15"/>
    <mergeCell ref="J43:M43"/>
    <mergeCell ref="J47:M47"/>
    <mergeCell ref="J55:M55"/>
    <mergeCell ref="A2:H2"/>
    <mergeCell ref="A4:H4"/>
    <mergeCell ref="A5:H5"/>
    <mergeCell ref="A6:H6"/>
    <mergeCell ref="A7:H7"/>
    <mergeCell ref="A3:H3"/>
    <mergeCell ref="D14:D15"/>
    <mergeCell ref="E14:E15"/>
    <mergeCell ref="F14:F15"/>
    <mergeCell ref="G14:G15"/>
    <mergeCell ref="H14:H15"/>
  </mergeCells>
  <conditionalFormatting sqref="M71:M72">
    <cfRule type="containsText" dxfId="1" priority="1" operator="containsText" text="Yes">
      <formula>NOT(ISERROR(SEARCH("Yes",M71)))</formula>
    </cfRule>
  </conditionalFormatting>
  <pageMargins left="1.1200000000000001" right="0.5" top="0.74" bottom="0.34" header="0.5" footer="0"/>
  <pageSetup scale="53" orientation="portrait" blackAndWhite="1" r:id="rId1"/>
  <headerFooter alignWithMargins="0">
    <oddHeader xml:space="preserve">&amp;RState of Kansas
County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B0F0"/>
    <pageSetUpPr fitToPage="1"/>
  </sheetPr>
  <dimension ref="A1:K57"/>
  <sheetViews>
    <sheetView zoomScale="75" workbookViewId="0">
      <selection activeCell="B15" sqref="B15"/>
    </sheetView>
  </sheetViews>
  <sheetFormatPr defaultRowHeight="15.75" x14ac:dyDescent="0.25"/>
  <cols>
    <col min="1" max="1" width="21.88671875" style="2" customWidth="1"/>
    <col min="2" max="2" width="12.77734375" style="2" customWidth="1"/>
    <col min="3" max="3" width="10.33203125" style="2" customWidth="1"/>
    <col min="4" max="4" width="12.88671875" style="2" customWidth="1"/>
    <col min="5" max="5" width="10.21875" style="2" customWidth="1"/>
    <col min="6" max="6" width="15" style="2" customWidth="1"/>
    <col min="7" max="7" width="12.77734375" style="2" customWidth="1"/>
    <col min="8" max="8" width="15.33203125" style="2" customWidth="1"/>
    <col min="9" max="9" width="9.77734375" style="2" customWidth="1"/>
    <col min="10" max="10" width="12.44140625" style="2" customWidth="1"/>
    <col min="11" max="16384" width="8.88671875" style="2"/>
  </cols>
  <sheetData>
    <row r="1" spans="1:11" x14ac:dyDescent="0.25">
      <c r="A1" s="15" t="str">
        <f>inputPrYr!C3</f>
        <v>Doniphan County</v>
      </c>
      <c r="B1" s="9"/>
      <c r="C1" s="9"/>
      <c r="D1" s="9"/>
      <c r="E1" s="9"/>
      <c r="F1" s="9"/>
      <c r="G1" s="9"/>
      <c r="H1" s="9"/>
      <c r="I1" s="9"/>
      <c r="J1" s="17">
        <f>inputPrYr!C5</f>
        <v>2024</v>
      </c>
    </row>
    <row r="2" spans="1:11" x14ac:dyDescent="0.25">
      <c r="A2" s="9"/>
      <c r="B2" s="9"/>
      <c r="C2" s="9"/>
      <c r="D2" s="9"/>
      <c r="E2" s="9"/>
      <c r="F2" s="9"/>
      <c r="G2" s="9"/>
      <c r="H2" s="9"/>
      <c r="I2" s="8"/>
      <c r="J2" s="8"/>
    </row>
    <row r="3" spans="1:11" x14ac:dyDescent="0.25">
      <c r="A3" s="597" t="s">
        <v>541</v>
      </c>
      <c r="B3" s="597"/>
      <c r="C3" s="597"/>
      <c r="D3" s="597"/>
      <c r="E3" s="597"/>
      <c r="F3" s="597"/>
      <c r="G3" s="597"/>
      <c r="H3" s="597"/>
      <c r="I3" s="597"/>
      <c r="J3" s="597"/>
      <c r="K3" s="3"/>
    </row>
    <row r="4" spans="1:11" x14ac:dyDescent="0.25">
      <c r="A4" s="9"/>
      <c r="B4" s="13"/>
      <c r="C4" s="13"/>
      <c r="D4" s="13"/>
      <c r="E4" s="13"/>
      <c r="F4" s="13"/>
      <c r="G4" s="13"/>
      <c r="H4" s="13"/>
      <c r="I4" s="13"/>
      <c r="J4" s="13"/>
    </row>
    <row r="5" spans="1:11" ht="16.5" customHeight="1" x14ac:dyDescent="0.25">
      <c r="A5" s="691" t="s">
        <v>9</v>
      </c>
      <c r="B5" s="694" t="str">
        <f>CONCATENATE("Prior Year Actual for ",J1-2,"")</f>
        <v>Prior Year Actual for 2022</v>
      </c>
      <c r="C5" s="695"/>
      <c r="D5" s="696" t="str">
        <f>CONCATENATE("Current Year Estimate for ",J1-1,"")</f>
        <v>Current Year Estimate for 2023</v>
      </c>
      <c r="E5" s="697"/>
      <c r="F5" s="699" t="str">
        <f>CONCATENATE("Proposed Budget Year for ",J1,"")</f>
        <v>Proposed Budget Year for 2024</v>
      </c>
      <c r="G5" s="700"/>
      <c r="H5" s="700"/>
      <c r="I5" s="700"/>
      <c r="J5" s="701"/>
    </row>
    <row r="6" spans="1:11" ht="27" customHeight="1" x14ac:dyDescent="0.25">
      <c r="A6" s="692"/>
      <c r="B6" s="616" t="s">
        <v>60</v>
      </c>
      <c r="C6" s="595" t="s">
        <v>536</v>
      </c>
      <c r="D6" s="616" t="s">
        <v>60</v>
      </c>
      <c r="E6" s="595" t="s">
        <v>536</v>
      </c>
      <c r="F6" s="681" t="s">
        <v>523</v>
      </c>
      <c r="G6" s="698" t="str">
        <f>CONCATENATE("Amount of ",J1-1," Ad Valorem Tax")</f>
        <v>Amount of 2023 Ad Valorem Tax</v>
      </c>
      <c r="H6" s="595" t="s">
        <v>539</v>
      </c>
      <c r="I6" s="702" t="s">
        <v>540</v>
      </c>
      <c r="J6" s="698" t="str">
        <f>CONCATENATE("July 1, ",J1-1," Estimated Valuation")</f>
        <v>July 1, 2023 Estimated Valuation</v>
      </c>
    </row>
    <row r="7" spans="1:11" ht="27" customHeight="1" x14ac:dyDescent="0.25">
      <c r="A7" s="693"/>
      <c r="B7" s="618"/>
      <c r="C7" s="596"/>
      <c r="D7" s="618"/>
      <c r="E7" s="596"/>
      <c r="F7" s="682"/>
      <c r="G7" s="569"/>
      <c r="H7" s="596"/>
      <c r="I7" s="702"/>
      <c r="J7" s="569"/>
    </row>
    <row r="8" spans="1:11" x14ac:dyDescent="0.25">
      <c r="A8" s="6"/>
      <c r="B8" s="6"/>
      <c r="C8" s="7"/>
      <c r="D8" s="6"/>
      <c r="E8" s="7"/>
      <c r="F8" s="6"/>
      <c r="G8" s="6"/>
      <c r="H8" s="18" t="str">
        <f>IF(J8&lt;&gt;0,ROUND(G8/J8*1000,3),"")</f>
        <v/>
      </c>
      <c r="I8" s="426"/>
      <c r="J8" s="6"/>
      <c r="K8" s="2" t="str">
        <f>IF(H8&gt;I8, "Follow procedure in KSA 79-2988 to exceed RNR", "")</f>
        <v/>
      </c>
    </row>
    <row r="9" spans="1:11" x14ac:dyDescent="0.25">
      <c r="A9" s="6"/>
      <c r="B9" s="6"/>
      <c r="C9" s="7"/>
      <c r="D9" s="6"/>
      <c r="E9" s="7"/>
      <c r="F9" s="6"/>
      <c r="G9" s="6"/>
      <c r="H9" s="18" t="str">
        <f t="shared" ref="H9:H36" si="0">IF(J9&lt;&gt;0,ROUND(G9/J9*1000,3),"")</f>
        <v/>
      </c>
      <c r="I9" s="426"/>
      <c r="J9" s="6"/>
      <c r="K9" s="2" t="str">
        <f t="shared" ref="K9:K36" si="1">IF(H9&gt;I9, "Follow procedure in KSA 79-2988 to exceed RNR", "")</f>
        <v/>
      </c>
    </row>
    <row r="10" spans="1:11" x14ac:dyDescent="0.25">
      <c r="A10" s="6"/>
      <c r="B10" s="6"/>
      <c r="C10" s="7"/>
      <c r="D10" s="6"/>
      <c r="E10" s="7"/>
      <c r="F10" s="6"/>
      <c r="G10" s="6"/>
      <c r="H10" s="18" t="str">
        <f t="shared" si="0"/>
        <v/>
      </c>
      <c r="I10" s="426"/>
      <c r="J10" s="6"/>
      <c r="K10" s="2" t="str">
        <f t="shared" si="1"/>
        <v/>
      </c>
    </row>
    <row r="11" spans="1:11" x14ac:dyDescent="0.25">
      <c r="A11" s="6"/>
      <c r="B11" s="6"/>
      <c r="C11" s="7"/>
      <c r="D11" s="6"/>
      <c r="E11" s="7"/>
      <c r="F11" s="6"/>
      <c r="G11" s="6"/>
      <c r="H11" s="18" t="str">
        <f t="shared" si="0"/>
        <v/>
      </c>
      <c r="I11" s="426"/>
      <c r="J11" s="6"/>
      <c r="K11" s="2" t="str">
        <f t="shared" si="1"/>
        <v/>
      </c>
    </row>
    <row r="12" spans="1:11" x14ac:dyDescent="0.25">
      <c r="A12" s="6"/>
      <c r="B12" s="6"/>
      <c r="C12" s="7"/>
      <c r="D12" s="6"/>
      <c r="E12" s="7"/>
      <c r="F12" s="6"/>
      <c r="G12" s="6"/>
      <c r="H12" s="18" t="str">
        <f t="shared" si="0"/>
        <v/>
      </c>
      <c r="I12" s="426"/>
      <c r="J12" s="6"/>
      <c r="K12" s="2" t="str">
        <f t="shared" si="1"/>
        <v/>
      </c>
    </row>
    <row r="13" spans="1:11" x14ac:dyDescent="0.25">
      <c r="A13" s="6"/>
      <c r="B13" s="6"/>
      <c r="C13" s="7"/>
      <c r="D13" s="6"/>
      <c r="E13" s="7"/>
      <c r="F13" s="6"/>
      <c r="G13" s="6"/>
      <c r="H13" s="18" t="str">
        <f t="shared" si="0"/>
        <v/>
      </c>
      <c r="I13" s="426"/>
      <c r="J13" s="6"/>
      <c r="K13" s="2" t="str">
        <f t="shared" si="1"/>
        <v/>
      </c>
    </row>
    <row r="14" spans="1:11" x14ac:dyDescent="0.25">
      <c r="A14" s="6"/>
      <c r="B14" s="6"/>
      <c r="C14" s="7"/>
      <c r="D14" s="6"/>
      <c r="E14" s="7"/>
      <c r="F14" s="6"/>
      <c r="G14" s="6"/>
      <c r="H14" s="18" t="str">
        <f t="shared" si="0"/>
        <v/>
      </c>
      <c r="I14" s="426"/>
      <c r="J14" s="6"/>
      <c r="K14" s="2" t="str">
        <f t="shared" si="1"/>
        <v/>
      </c>
    </row>
    <row r="15" spans="1:11" x14ac:dyDescent="0.25">
      <c r="A15" s="6"/>
      <c r="B15" s="6"/>
      <c r="C15" s="7"/>
      <c r="D15" s="6"/>
      <c r="E15" s="7"/>
      <c r="F15" s="6"/>
      <c r="G15" s="6"/>
      <c r="H15" s="18" t="str">
        <f t="shared" si="0"/>
        <v/>
      </c>
      <c r="I15" s="426"/>
      <c r="J15" s="6"/>
      <c r="K15" s="2" t="str">
        <f t="shared" si="1"/>
        <v/>
      </c>
    </row>
    <row r="16" spans="1:11" x14ac:dyDescent="0.25">
      <c r="A16" s="6"/>
      <c r="B16" s="6"/>
      <c r="C16" s="7"/>
      <c r="D16" s="6"/>
      <c r="E16" s="7"/>
      <c r="F16" s="6"/>
      <c r="G16" s="6"/>
      <c r="H16" s="18" t="str">
        <f t="shared" si="0"/>
        <v/>
      </c>
      <c r="I16" s="426"/>
      <c r="J16" s="6"/>
      <c r="K16" s="2" t="str">
        <f t="shared" si="1"/>
        <v/>
      </c>
    </row>
    <row r="17" spans="1:11" x14ac:dyDescent="0.25">
      <c r="A17" s="6"/>
      <c r="B17" s="6"/>
      <c r="C17" s="7"/>
      <c r="D17" s="6"/>
      <c r="E17" s="7"/>
      <c r="F17" s="6"/>
      <c r="G17" s="6"/>
      <c r="H17" s="18" t="str">
        <f t="shared" si="0"/>
        <v/>
      </c>
      <c r="I17" s="426"/>
      <c r="J17" s="6"/>
      <c r="K17" s="2" t="str">
        <f t="shared" si="1"/>
        <v/>
      </c>
    </row>
    <row r="18" spans="1:11" x14ac:dyDescent="0.25">
      <c r="A18" s="6"/>
      <c r="B18" s="6"/>
      <c r="C18" s="7"/>
      <c r="D18" s="6"/>
      <c r="E18" s="7"/>
      <c r="F18" s="6"/>
      <c r="G18" s="6"/>
      <c r="H18" s="18" t="str">
        <f t="shared" si="0"/>
        <v/>
      </c>
      <c r="I18" s="426"/>
      <c r="J18" s="6"/>
      <c r="K18" s="2" t="str">
        <f t="shared" si="1"/>
        <v/>
      </c>
    </row>
    <row r="19" spans="1:11" x14ac:dyDescent="0.25">
      <c r="A19" s="6"/>
      <c r="B19" s="6"/>
      <c r="C19" s="7"/>
      <c r="D19" s="6"/>
      <c r="E19" s="7"/>
      <c r="F19" s="6"/>
      <c r="G19" s="6"/>
      <c r="H19" s="18" t="str">
        <f t="shared" si="0"/>
        <v/>
      </c>
      <c r="I19" s="426"/>
      <c r="J19" s="6"/>
      <c r="K19" s="2" t="str">
        <f t="shared" si="1"/>
        <v/>
      </c>
    </row>
    <row r="20" spans="1:11" x14ac:dyDescent="0.25">
      <c r="A20" s="6"/>
      <c r="B20" s="6"/>
      <c r="C20" s="7"/>
      <c r="D20" s="6"/>
      <c r="E20" s="7"/>
      <c r="F20" s="6"/>
      <c r="G20" s="6"/>
      <c r="H20" s="18" t="str">
        <f t="shared" si="0"/>
        <v/>
      </c>
      <c r="I20" s="426"/>
      <c r="J20" s="6"/>
      <c r="K20" s="2" t="str">
        <f t="shared" si="1"/>
        <v/>
      </c>
    </row>
    <row r="21" spans="1:11" x14ac:dyDescent="0.25">
      <c r="A21" s="6"/>
      <c r="B21" s="6"/>
      <c r="C21" s="7"/>
      <c r="D21" s="6"/>
      <c r="E21" s="7"/>
      <c r="F21" s="6"/>
      <c r="G21" s="6"/>
      <c r="H21" s="18" t="str">
        <f t="shared" si="0"/>
        <v/>
      </c>
      <c r="I21" s="426"/>
      <c r="J21" s="6"/>
      <c r="K21" s="2" t="str">
        <f t="shared" si="1"/>
        <v/>
      </c>
    </row>
    <row r="22" spans="1:11" x14ac:dyDescent="0.25">
      <c r="A22" s="6"/>
      <c r="B22" s="6"/>
      <c r="C22" s="7"/>
      <c r="D22" s="6"/>
      <c r="E22" s="7"/>
      <c r="F22" s="6"/>
      <c r="G22" s="6"/>
      <c r="H22" s="18" t="str">
        <f t="shared" si="0"/>
        <v/>
      </c>
      <c r="I22" s="426"/>
      <c r="J22" s="6"/>
      <c r="K22" s="2" t="str">
        <f t="shared" si="1"/>
        <v/>
      </c>
    </row>
    <row r="23" spans="1:11" x14ac:dyDescent="0.25">
      <c r="A23" s="6"/>
      <c r="B23" s="6"/>
      <c r="C23" s="7"/>
      <c r="D23" s="6"/>
      <c r="E23" s="7"/>
      <c r="F23" s="6"/>
      <c r="G23" s="6"/>
      <c r="H23" s="18" t="str">
        <f t="shared" si="0"/>
        <v/>
      </c>
      <c r="I23" s="426"/>
      <c r="J23" s="6"/>
      <c r="K23" s="2" t="str">
        <f t="shared" si="1"/>
        <v/>
      </c>
    </row>
    <row r="24" spans="1:11" x14ac:dyDescent="0.25">
      <c r="A24" s="6"/>
      <c r="B24" s="6"/>
      <c r="C24" s="7"/>
      <c r="D24" s="6"/>
      <c r="E24" s="7"/>
      <c r="F24" s="6"/>
      <c r="G24" s="6"/>
      <c r="H24" s="18" t="str">
        <f t="shared" si="0"/>
        <v/>
      </c>
      <c r="I24" s="426"/>
      <c r="J24" s="6"/>
      <c r="K24" s="2" t="str">
        <f t="shared" si="1"/>
        <v/>
      </c>
    </row>
    <row r="25" spans="1:11" x14ac:dyDescent="0.25">
      <c r="A25" s="6"/>
      <c r="B25" s="6"/>
      <c r="C25" s="7"/>
      <c r="D25" s="6"/>
      <c r="E25" s="7"/>
      <c r="F25" s="6"/>
      <c r="G25" s="6"/>
      <c r="H25" s="18" t="str">
        <f t="shared" si="0"/>
        <v/>
      </c>
      <c r="I25" s="426"/>
      <c r="J25" s="6"/>
      <c r="K25" s="2" t="str">
        <f t="shared" si="1"/>
        <v/>
      </c>
    </row>
    <row r="26" spans="1:11" x14ac:dyDescent="0.25">
      <c r="A26" s="6"/>
      <c r="B26" s="6"/>
      <c r="C26" s="7"/>
      <c r="D26" s="6"/>
      <c r="E26" s="7"/>
      <c r="F26" s="6"/>
      <c r="G26" s="6"/>
      <c r="H26" s="18" t="str">
        <f t="shared" si="0"/>
        <v/>
      </c>
      <c r="I26" s="426"/>
      <c r="J26" s="6"/>
      <c r="K26" s="2" t="str">
        <f t="shared" si="1"/>
        <v/>
      </c>
    </row>
    <row r="27" spans="1:11" x14ac:dyDescent="0.25">
      <c r="A27" s="6"/>
      <c r="B27" s="6"/>
      <c r="C27" s="7"/>
      <c r="D27" s="6"/>
      <c r="E27" s="7"/>
      <c r="F27" s="6"/>
      <c r="G27" s="6"/>
      <c r="H27" s="18" t="str">
        <f t="shared" si="0"/>
        <v/>
      </c>
      <c r="I27" s="426"/>
      <c r="J27" s="6"/>
      <c r="K27" s="2" t="str">
        <f t="shared" si="1"/>
        <v/>
      </c>
    </row>
    <row r="28" spans="1:11" x14ac:dyDescent="0.25">
      <c r="A28" s="6"/>
      <c r="B28" s="6"/>
      <c r="C28" s="7"/>
      <c r="D28" s="6"/>
      <c r="E28" s="7"/>
      <c r="F28" s="6"/>
      <c r="G28" s="6"/>
      <c r="H28" s="18" t="str">
        <f t="shared" si="0"/>
        <v/>
      </c>
      <c r="I28" s="426"/>
      <c r="J28" s="6"/>
      <c r="K28" s="2" t="str">
        <f t="shared" si="1"/>
        <v/>
      </c>
    </row>
    <row r="29" spans="1:11" x14ac:dyDescent="0.25">
      <c r="A29" s="6"/>
      <c r="B29" s="6"/>
      <c r="C29" s="7"/>
      <c r="D29" s="6"/>
      <c r="E29" s="7"/>
      <c r="F29" s="6"/>
      <c r="G29" s="6"/>
      <c r="H29" s="18" t="str">
        <f t="shared" si="0"/>
        <v/>
      </c>
      <c r="I29" s="426"/>
      <c r="J29" s="6"/>
      <c r="K29" s="2" t="str">
        <f t="shared" si="1"/>
        <v/>
      </c>
    </row>
    <row r="30" spans="1:11" x14ac:dyDescent="0.25">
      <c r="A30" s="6"/>
      <c r="B30" s="6"/>
      <c r="C30" s="7"/>
      <c r="D30" s="6"/>
      <c r="E30" s="7"/>
      <c r="F30" s="6"/>
      <c r="G30" s="6"/>
      <c r="H30" s="18" t="str">
        <f t="shared" si="0"/>
        <v/>
      </c>
      <c r="I30" s="426"/>
      <c r="J30" s="6"/>
      <c r="K30" s="2" t="str">
        <f t="shared" si="1"/>
        <v/>
      </c>
    </row>
    <row r="31" spans="1:11" x14ac:dyDescent="0.25">
      <c r="A31" s="6"/>
      <c r="B31" s="6"/>
      <c r="C31" s="7"/>
      <c r="D31" s="6"/>
      <c r="E31" s="7"/>
      <c r="F31" s="6"/>
      <c r="G31" s="6"/>
      <c r="H31" s="18" t="str">
        <f t="shared" si="0"/>
        <v/>
      </c>
      <c r="I31" s="426"/>
      <c r="J31" s="6"/>
      <c r="K31" s="2" t="str">
        <f t="shared" si="1"/>
        <v/>
      </c>
    </row>
    <row r="32" spans="1:11" x14ac:dyDescent="0.25">
      <c r="A32" s="6"/>
      <c r="B32" s="6"/>
      <c r="C32" s="7"/>
      <c r="D32" s="6"/>
      <c r="E32" s="7"/>
      <c r="F32" s="6"/>
      <c r="G32" s="6"/>
      <c r="H32" s="18" t="str">
        <f t="shared" si="0"/>
        <v/>
      </c>
      <c r="I32" s="426"/>
      <c r="J32" s="6"/>
      <c r="K32" s="2" t="str">
        <f t="shared" si="1"/>
        <v/>
      </c>
    </row>
    <row r="33" spans="1:11" x14ac:dyDescent="0.25">
      <c r="A33" s="6"/>
      <c r="B33" s="6"/>
      <c r="C33" s="7"/>
      <c r="D33" s="6"/>
      <c r="E33" s="7"/>
      <c r="F33" s="6"/>
      <c r="G33" s="6"/>
      <c r="H33" s="18" t="str">
        <f t="shared" si="0"/>
        <v/>
      </c>
      <c r="I33" s="426"/>
      <c r="J33" s="6"/>
      <c r="K33" s="2" t="str">
        <f t="shared" si="1"/>
        <v/>
      </c>
    </row>
    <row r="34" spans="1:11" x14ac:dyDescent="0.25">
      <c r="A34" s="6"/>
      <c r="B34" s="6"/>
      <c r="C34" s="7"/>
      <c r="D34" s="6"/>
      <c r="E34" s="7"/>
      <c r="F34" s="6"/>
      <c r="G34" s="6"/>
      <c r="H34" s="18" t="str">
        <f t="shared" si="0"/>
        <v/>
      </c>
      <c r="I34" s="426"/>
      <c r="J34" s="6"/>
      <c r="K34" s="2" t="str">
        <f t="shared" si="1"/>
        <v/>
      </c>
    </row>
    <row r="35" spans="1:11" x14ac:dyDescent="0.25">
      <c r="A35" s="6"/>
      <c r="B35" s="6"/>
      <c r="C35" s="7"/>
      <c r="D35" s="6"/>
      <c r="E35" s="7"/>
      <c r="F35" s="6"/>
      <c r="G35" s="6"/>
      <c r="H35" s="18" t="str">
        <f t="shared" si="0"/>
        <v/>
      </c>
      <c r="I35" s="426"/>
      <c r="J35" s="6"/>
      <c r="K35" s="2" t="str">
        <f t="shared" si="1"/>
        <v/>
      </c>
    </row>
    <row r="36" spans="1:11" x14ac:dyDescent="0.25">
      <c r="A36" s="6"/>
      <c r="B36" s="6"/>
      <c r="C36" s="7"/>
      <c r="D36" s="6"/>
      <c r="E36" s="7"/>
      <c r="F36" s="6"/>
      <c r="G36" s="6"/>
      <c r="H36" s="18" t="str">
        <f t="shared" si="0"/>
        <v/>
      </c>
      <c r="I36" s="426"/>
      <c r="J36" s="6"/>
      <c r="K36" s="2" t="str">
        <f t="shared" si="1"/>
        <v/>
      </c>
    </row>
    <row r="37" spans="1:11" x14ac:dyDescent="0.25">
      <c r="A37" s="9"/>
      <c r="B37" s="9"/>
      <c r="C37" s="9"/>
      <c r="D37" s="9"/>
      <c r="E37" s="9"/>
      <c r="F37" s="9"/>
      <c r="G37" s="9"/>
      <c r="H37" s="9"/>
      <c r="I37" s="424"/>
      <c r="J37" s="15"/>
    </row>
    <row r="38" spans="1:11" x14ac:dyDescent="0.25">
      <c r="A38" s="10" t="s">
        <v>144</v>
      </c>
      <c r="B38" s="9"/>
      <c r="C38" s="9"/>
      <c r="D38" s="9"/>
      <c r="E38" s="9"/>
      <c r="F38" s="9"/>
      <c r="G38" s="9"/>
      <c r="H38" s="9"/>
      <c r="I38" s="9"/>
      <c r="J38" s="377"/>
    </row>
    <row r="39" spans="1:11" x14ac:dyDescent="0.25">
      <c r="A39" s="425" t="s">
        <v>535</v>
      </c>
      <c r="B39" s="9"/>
      <c r="C39" s="9"/>
      <c r="D39" s="9"/>
      <c r="E39" s="9"/>
      <c r="F39" s="9"/>
      <c r="G39" s="9"/>
      <c r="H39" s="9"/>
      <c r="I39" s="9"/>
      <c r="J39" s="377"/>
    </row>
    <row r="40" spans="1:11" x14ac:dyDescent="0.25">
      <c r="A40" s="425"/>
      <c r="B40" s="9"/>
      <c r="C40" s="9"/>
      <c r="D40" s="9"/>
      <c r="E40" s="9"/>
      <c r="F40" s="9"/>
      <c r="G40" s="9"/>
      <c r="H40" s="9"/>
      <c r="I40" s="9"/>
      <c r="J40" s="377"/>
    </row>
    <row r="41" spans="1:11" x14ac:dyDescent="0.25">
      <c r="A41" s="669" t="str">
        <f>inputHearing!B28</f>
        <v>Wayne Grable</v>
      </c>
      <c r="B41" s="688"/>
      <c r="C41" s="9"/>
      <c r="D41" s="9"/>
      <c r="E41" s="9"/>
      <c r="F41" s="9"/>
      <c r="G41" s="9"/>
      <c r="H41" s="9"/>
      <c r="I41" s="9"/>
      <c r="J41" s="377"/>
    </row>
    <row r="42" spans="1:11" x14ac:dyDescent="0.25">
      <c r="A42" s="689" t="str">
        <f>inputHearing!B30</f>
        <v>Chairman</v>
      </c>
      <c r="B42" s="690"/>
      <c r="C42" s="9"/>
      <c r="D42" s="9" t="s">
        <v>133</v>
      </c>
      <c r="E42" s="363"/>
      <c r="F42" s="9"/>
      <c r="G42" s="9"/>
      <c r="H42" s="9"/>
      <c r="I42" s="9"/>
      <c r="J42" s="377"/>
    </row>
    <row r="44" spans="1:11" x14ac:dyDescent="0.25">
      <c r="A44" s="1"/>
      <c r="B44" s="1"/>
      <c r="C44" s="1"/>
      <c r="D44" s="1"/>
      <c r="E44" s="1"/>
      <c r="F44" s="1"/>
      <c r="G44" s="1"/>
      <c r="H44" s="1"/>
      <c r="I44" s="1"/>
      <c r="J44" s="1"/>
    </row>
    <row r="45" spans="1:11" x14ac:dyDescent="0.25">
      <c r="A45" s="4"/>
      <c r="B45" s="1"/>
      <c r="C45" s="1"/>
      <c r="D45" s="1"/>
      <c r="E45" s="1"/>
      <c r="F45" s="1"/>
      <c r="G45" s="1"/>
      <c r="H45" s="1"/>
      <c r="I45" s="1"/>
      <c r="J45" s="1"/>
    </row>
    <row r="46" spans="1:11" x14ac:dyDescent="0.25">
      <c r="A46" s="4"/>
      <c r="B46" s="5"/>
      <c r="C46" s="1"/>
      <c r="D46" s="5"/>
      <c r="E46" s="1"/>
      <c r="F46" s="5"/>
      <c r="G46" s="1"/>
      <c r="H46" s="1"/>
      <c r="I46" s="1"/>
      <c r="J46" s="1"/>
    </row>
    <row r="47" spans="1:11" x14ac:dyDescent="0.25">
      <c r="A47" s="4"/>
      <c r="B47" s="4"/>
      <c r="C47" s="1"/>
      <c r="D47" s="4"/>
      <c r="E47" s="1"/>
      <c r="F47" s="4"/>
      <c r="G47" s="1"/>
      <c r="H47" s="1"/>
      <c r="I47" s="1"/>
      <c r="J47" s="1"/>
    </row>
    <row r="48" spans="1:11" x14ac:dyDescent="0.25">
      <c r="A48" s="4"/>
      <c r="B48" s="4"/>
      <c r="C48" s="1"/>
      <c r="D48" s="4"/>
      <c r="E48" s="1"/>
      <c r="F48" s="4"/>
      <c r="G48" s="1"/>
      <c r="H48" s="1"/>
      <c r="I48" s="1"/>
      <c r="J48" s="1"/>
    </row>
    <row r="49" spans="1:10" x14ac:dyDescent="0.25">
      <c r="A49" s="4"/>
      <c r="B49" s="4"/>
      <c r="C49" s="1"/>
      <c r="D49" s="4"/>
      <c r="E49" s="1"/>
      <c r="F49" s="4"/>
      <c r="G49" s="1"/>
      <c r="H49" s="1"/>
      <c r="I49" s="1"/>
      <c r="J49" s="1"/>
    </row>
    <row r="50" spans="1:10" x14ac:dyDescent="0.25">
      <c r="A50" s="4"/>
      <c r="B50" s="4"/>
      <c r="C50" s="1"/>
      <c r="D50" s="4"/>
      <c r="E50" s="1"/>
      <c r="F50" s="4"/>
      <c r="G50" s="1"/>
      <c r="H50" s="1"/>
      <c r="I50" s="1"/>
      <c r="J50" s="1"/>
    </row>
    <row r="51" spans="1:10" x14ac:dyDescent="0.25">
      <c r="A51" s="4"/>
      <c r="B51" s="4"/>
      <c r="C51" s="1"/>
      <c r="D51" s="4"/>
      <c r="E51" s="1"/>
      <c r="F51" s="4"/>
      <c r="G51" s="1"/>
      <c r="H51" s="1"/>
      <c r="I51" s="1"/>
      <c r="J51" s="1"/>
    </row>
    <row r="52" spans="1:10" x14ac:dyDescent="0.25">
      <c r="B52" s="1"/>
      <c r="C52" s="1"/>
      <c r="D52" s="1"/>
      <c r="E52" s="1"/>
      <c r="F52" s="1"/>
      <c r="G52" s="1"/>
      <c r="H52" s="1"/>
      <c r="I52" s="1"/>
      <c r="J52" s="1"/>
    </row>
    <row r="53" spans="1:10" x14ac:dyDescent="0.25">
      <c r="B53" s="1"/>
      <c r="C53" s="1"/>
      <c r="D53" s="1"/>
      <c r="E53" s="1"/>
      <c r="F53" s="1"/>
      <c r="G53" s="1"/>
      <c r="H53" s="1"/>
      <c r="I53" s="1"/>
      <c r="J53" s="1"/>
    </row>
    <row r="54" spans="1:10" x14ac:dyDescent="0.25">
      <c r="B54" s="513"/>
      <c r="C54" s="1"/>
      <c r="D54" s="1"/>
      <c r="E54" s="1"/>
      <c r="F54" s="1"/>
      <c r="G54" s="1"/>
      <c r="H54" s="1"/>
      <c r="I54" s="1"/>
      <c r="J54" s="1"/>
    </row>
    <row r="55" spans="1:10" x14ac:dyDescent="0.25">
      <c r="B55" s="514"/>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sheetData>
  <sheetProtection sheet="1" objects="1" scenarios="1"/>
  <mergeCells count="16">
    <mergeCell ref="A42:B42"/>
    <mergeCell ref="A3:J3"/>
    <mergeCell ref="A5:A7"/>
    <mergeCell ref="B5:C5"/>
    <mergeCell ref="D5:E5"/>
    <mergeCell ref="F5:J5"/>
    <mergeCell ref="B6:B7"/>
    <mergeCell ref="C6:C7"/>
    <mergeCell ref="D6:D7"/>
    <mergeCell ref="E6:E7"/>
    <mergeCell ref="F6:F7"/>
    <mergeCell ref="G6:G7"/>
    <mergeCell ref="J6:J7"/>
    <mergeCell ref="H6:H7"/>
    <mergeCell ref="I6:I7"/>
    <mergeCell ref="A41:B41"/>
  </mergeCells>
  <conditionalFormatting sqref="K8:K36">
    <cfRule type="notContainsBlanks" dxfId="0" priority="1">
      <formula>LEN(TRIM(K8))&gt;0</formula>
    </cfRule>
  </conditionalFormatting>
  <pageMargins left="1.1200000000000001" right="0.5" top="0.74" bottom="0.34" header="0.5" footer="0"/>
  <pageSetup scale="51" orientation="portrait" blackAndWhite="1" horizontalDpi="120" r:id="rId1"/>
  <headerFooter alignWithMargins="0">
    <oddHeader xml:space="preserve">&amp;RState of Kansas
County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F0"/>
    <pageSetUpPr fitToPage="1"/>
  </sheetPr>
  <dimension ref="A1:H34"/>
  <sheetViews>
    <sheetView workbookViewId="0">
      <selection activeCell="E17" sqref="E17"/>
    </sheetView>
  </sheetViews>
  <sheetFormatPr defaultRowHeight="15.75" x14ac:dyDescent="0.2"/>
  <cols>
    <col min="1" max="1" width="14.109375" style="23" customWidth="1"/>
    <col min="2" max="2" width="12.77734375" style="23" customWidth="1"/>
    <col min="3" max="3" width="8.77734375" style="23" customWidth="1"/>
    <col min="4" max="4" width="7.33203125" style="23" customWidth="1"/>
    <col min="5" max="5" width="8.5546875" style="23" customWidth="1"/>
    <col min="6" max="6" width="12.77734375" style="23" customWidth="1"/>
    <col min="7" max="7" width="11.88671875" style="23" customWidth="1"/>
    <col min="8" max="8" width="14.109375" style="23" customWidth="1"/>
    <col min="9" max="252" width="8.88671875" style="23"/>
    <col min="253" max="253" width="15.77734375" style="23" customWidth="1"/>
    <col min="254" max="254" width="12.77734375" style="23" customWidth="1"/>
    <col min="255" max="255" width="8.77734375" style="23" customWidth="1"/>
    <col min="256" max="256" width="13.77734375" style="23" customWidth="1"/>
    <col min="257" max="257" width="8.77734375" style="23" customWidth="1"/>
    <col min="258" max="258" width="12.77734375" style="23" customWidth="1"/>
    <col min="259" max="259" width="10.77734375" style="23" customWidth="1"/>
    <col min="260" max="260" width="8.77734375" style="23" customWidth="1"/>
    <col min="261" max="261" width="8.88671875" style="23"/>
    <col min="262" max="262" width="12.44140625" style="23" customWidth="1"/>
    <col min="263" max="263" width="12.33203125" style="23" customWidth="1"/>
    <col min="264" max="264" width="8.88671875" style="23"/>
    <col min="265" max="265" width="12.109375" style="23" customWidth="1"/>
    <col min="266" max="508" width="8.88671875" style="23"/>
    <col min="509" max="509" width="15.77734375" style="23" customWidth="1"/>
    <col min="510" max="510" width="12.77734375" style="23" customWidth="1"/>
    <col min="511" max="511" width="8.77734375" style="23" customWidth="1"/>
    <col min="512" max="512" width="13.77734375" style="23" customWidth="1"/>
    <col min="513" max="513" width="8.77734375" style="23" customWidth="1"/>
    <col min="514" max="514" width="12.77734375" style="23" customWidth="1"/>
    <col min="515" max="515" width="10.77734375" style="23" customWidth="1"/>
    <col min="516" max="516" width="8.77734375" style="23" customWidth="1"/>
    <col min="517" max="517" width="8.88671875" style="23"/>
    <col min="518" max="518" width="12.44140625" style="23" customWidth="1"/>
    <col min="519" max="519" width="12.33203125" style="23" customWidth="1"/>
    <col min="520" max="520" width="8.88671875" style="23"/>
    <col min="521" max="521" width="12.109375" style="23" customWidth="1"/>
    <col min="522" max="764" width="8.88671875" style="23"/>
    <col min="765" max="765" width="15.77734375" style="23" customWidth="1"/>
    <col min="766" max="766" width="12.77734375" style="23" customWidth="1"/>
    <col min="767" max="767" width="8.77734375" style="23" customWidth="1"/>
    <col min="768" max="768" width="13.77734375" style="23" customWidth="1"/>
    <col min="769" max="769" width="8.77734375" style="23" customWidth="1"/>
    <col min="770" max="770" width="12.77734375" style="23" customWidth="1"/>
    <col min="771" max="771" width="10.77734375" style="23" customWidth="1"/>
    <col min="772" max="772" width="8.77734375" style="23" customWidth="1"/>
    <col min="773" max="773" width="8.88671875" style="23"/>
    <col min="774" max="774" width="12.44140625" style="23" customWidth="1"/>
    <col min="775" max="775" width="12.33203125" style="23" customWidth="1"/>
    <col min="776" max="776" width="8.88671875" style="23"/>
    <col min="777" max="777" width="12.109375" style="23" customWidth="1"/>
    <col min="778" max="1020" width="8.88671875" style="23"/>
    <col min="1021" max="1021" width="15.77734375" style="23" customWidth="1"/>
    <col min="1022" max="1022" width="12.77734375" style="23" customWidth="1"/>
    <col min="1023" max="1023" width="8.77734375" style="23" customWidth="1"/>
    <col min="1024" max="1024" width="13.77734375" style="23" customWidth="1"/>
    <col min="1025" max="1025" width="8.77734375" style="23" customWidth="1"/>
    <col min="1026" max="1026" width="12.77734375" style="23" customWidth="1"/>
    <col min="1027" max="1027" width="10.77734375" style="23" customWidth="1"/>
    <col min="1028" max="1028" width="8.77734375" style="23" customWidth="1"/>
    <col min="1029" max="1029" width="8.88671875" style="23"/>
    <col min="1030" max="1030" width="12.44140625" style="23" customWidth="1"/>
    <col min="1031" max="1031" width="12.33203125" style="23" customWidth="1"/>
    <col min="1032" max="1032" width="8.88671875" style="23"/>
    <col min="1033" max="1033" width="12.109375" style="23" customWidth="1"/>
    <col min="1034" max="1276" width="8.88671875" style="23"/>
    <col min="1277" max="1277" width="15.77734375" style="23" customWidth="1"/>
    <col min="1278" max="1278" width="12.77734375" style="23" customWidth="1"/>
    <col min="1279" max="1279" width="8.77734375" style="23" customWidth="1"/>
    <col min="1280" max="1280" width="13.77734375" style="23" customWidth="1"/>
    <col min="1281" max="1281" width="8.77734375" style="23" customWidth="1"/>
    <col min="1282" max="1282" width="12.77734375" style="23" customWidth="1"/>
    <col min="1283" max="1283" width="10.77734375" style="23" customWidth="1"/>
    <col min="1284" max="1284" width="8.77734375" style="23" customWidth="1"/>
    <col min="1285" max="1285" width="8.88671875" style="23"/>
    <col min="1286" max="1286" width="12.44140625" style="23" customWidth="1"/>
    <col min="1287" max="1287" width="12.33203125" style="23" customWidth="1"/>
    <col min="1288" max="1288" width="8.88671875" style="23"/>
    <col min="1289" max="1289" width="12.109375" style="23" customWidth="1"/>
    <col min="1290" max="1532" width="8.88671875" style="23"/>
    <col min="1533" max="1533" width="15.77734375" style="23" customWidth="1"/>
    <col min="1534" max="1534" width="12.77734375" style="23" customWidth="1"/>
    <col min="1535" max="1535" width="8.77734375" style="23" customWidth="1"/>
    <col min="1536" max="1536" width="13.77734375" style="23" customWidth="1"/>
    <col min="1537" max="1537" width="8.77734375" style="23" customWidth="1"/>
    <col min="1538" max="1538" width="12.77734375" style="23" customWidth="1"/>
    <col min="1539" max="1539" width="10.77734375" style="23" customWidth="1"/>
    <col min="1540" max="1540" width="8.77734375" style="23" customWidth="1"/>
    <col min="1541" max="1541" width="8.88671875" style="23"/>
    <col min="1542" max="1542" width="12.44140625" style="23" customWidth="1"/>
    <col min="1543" max="1543" width="12.33203125" style="23" customWidth="1"/>
    <col min="1544" max="1544" width="8.88671875" style="23"/>
    <col min="1545" max="1545" width="12.109375" style="23" customWidth="1"/>
    <col min="1546" max="1788" width="8.88671875" style="23"/>
    <col min="1789" max="1789" width="15.77734375" style="23" customWidth="1"/>
    <col min="1790" max="1790" width="12.77734375" style="23" customWidth="1"/>
    <col min="1791" max="1791" width="8.77734375" style="23" customWidth="1"/>
    <col min="1792" max="1792" width="13.77734375" style="23" customWidth="1"/>
    <col min="1793" max="1793" width="8.77734375" style="23" customWidth="1"/>
    <col min="1794" max="1794" width="12.77734375" style="23" customWidth="1"/>
    <col min="1795" max="1795" width="10.77734375" style="23" customWidth="1"/>
    <col min="1796" max="1796" width="8.77734375" style="23" customWidth="1"/>
    <col min="1797" max="1797" width="8.88671875" style="23"/>
    <col min="1798" max="1798" width="12.44140625" style="23" customWidth="1"/>
    <col min="1799" max="1799" width="12.33203125" style="23" customWidth="1"/>
    <col min="1800" max="1800" width="8.88671875" style="23"/>
    <col min="1801" max="1801" width="12.109375" style="23" customWidth="1"/>
    <col min="1802" max="2044" width="8.88671875" style="23"/>
    <col min="2045" max="2045" width="15.77734375" style="23" customWidth="1"/>
    <col min="2046" max="2046" width="12.77734375" style="23" customWidth="1"/>
    <col min="2047" max="2047" width="8.77734375" style="23" customWidth="1"/>
    <col min="2048" max="2048" width="13.77734375" style="23" customWidth="1"/>
    <col min="2049" max="2049" width="8.77734375" style="23" customWidth="1"/>
    <col min="2050" max="2050" width="12.77734375" style="23" customWidth="1"/>
    <col min="2051" max="2051" width="10.77734375" style="23" customWidth="1"/>
    <col min="2052" max="2052" width="8.77734375" style="23" customWidth="1"/>
    <col min="2053" max="2053" width="8.88671875" style="23"/>
    <col min="2054" max="2054" width="12.44140625" style="23" customWidth="1"/>
    <col min="2055" max="2055" width="12.33203125" style="23" customWidth="1"/>
    <col min="2056" max="2056" width="8.88671875" style="23"/>
    <col min="2057" max="2057" width="12.109375" style="23" customWidth="1"/>
    <col min="2058" max="2300" width="8.88671875" style="23"/>
    <col min="2301" max="2301" width="15.77734375" style="23" customWidth="1"/>
    <col min="2302" max="2302" width="12.77734375" style="23" customWidth="1"/>
    <col min="2303" max="2303" width="8.77734375" style="23" customWidth="1"/>
    <col min="2304" max="2304" width="13.77734375" style="23" customWidth="1"/>
    <col min="2305" max="2305" width="8.77734375" style="23" customWidth="1"/>
    <col min="2306" max="2306" width="12.77734375" style="23" customWidth="1"/>
    <col min="2307" max="2307" width="10.77734375" style="23" customWidth="1"/>
    <col min="2308" max="2308" width="8.77734375" style="23" customWidth="1"/>
    <col min="2309" max="2309" width="8.88671875" style="23"/>
    <col min="2310" max="2310" width="12.44140625" style="23" customWidth="1"/>
    <col min="2311" max="2311" width="12.33203125" style="23" customWidth="1"/>
    <col min="2312" max="2312" width="8.88671875" style="23"/>
    <col min="2313" max="2313" width="12.109375" style="23" customWidth="1"/>
    <col min="2314" max="2556" width="8.88671875" style="23"/>
    <col min="2557" max="2557" width="15.77734375" style="23" customWidth="1"/>
    <col min="2558" max="2558" width="12.77734375" style="23" customWidth="1"/>
    <col min="2559" max="2559" width="8.77734375" style="23" customWidth="1"/>
    <col min="2560" max="2560" width="13.77734375" style="23" customWidth="1"/>
    <col min="2561" max="2561" width="8.77734375" style="23" customWidth="1"/>
    <col min="2562" max="2562" width="12.77734375" style="23" customWidth="1"/>
    <col min="2563" max="2563" width="10.77734375" style="23" customWidth="1"/>
    <col min="2564" max="2564" width="8.77734375" style="23" customWidth="1"/>
    <col min="2565" max="2565" width="8.88671875" style="23"/>
    <col min="2566" max="2566" width="12.44140625" style="23" customWidth="1"/>
    <col min="2567" max="2567" width="12.33203125" style="23" customWidth="1"/>
    <col min="2568" max="2568" width="8.88671875" style="23"/>
    <col min="2569" max="2569" width="12.109375" style="23" customWidth="1"/>
    <col min="2570" max="2812" width="8.88671875" style="23"/>
    <col min="2813" max="2813" width="15.77734375" style="23" customWidth="1"/>
    <col min="2814" max="2814" width="12.77734375" style="23" customWidth="1"/>
    <col min="2815" max="2815" width="8.77734375" style="23" customWidth="1"/>
    <col min="2816" max="2816" width="13.77734375" style="23" customWidth="1"/>
    <col min="2817" max="2817" width="8.77734375" style="23" customWidth="1"/>
    <col min="2818" max="2818" width="12.77734375" style="23" customWidth="1"/>
    <col min="2819" max="2819" width="10.77734375" style="23" customWidth="1"/>
    <col min="2820" max="2820" width="8.77734375" style="23" customWidth="1"/>
    <col min="2821" max="2821" width="8.88671875" style="23"/>
    <col min="2822" max="2822" width="12.44140625" style="23" customWidth="1"/>
    <col min="2823" max="2823" width="12.33203125" style="23" customWidth="1"/>
    <col min="2824" max="2824" width="8.88671875" style="23"/>
    <col min="2825" max="2825" width="12.109375" style="23" customWidth="1"/>
    <col min="2826" max="3068" width="8.88671875" style="23"/>
    <col min="3069" max="3069" width="15.77734375" style="23" customWidth="1"/>
    <col min="3070" max="3070" width="12.77734375" style="23" customWidth="1"/>
    <col min="3071" max="3071" width="8.77734375" style="23" customWidth="1"/>
    <col min="3072" max="3072" width="13.77734375" style="23" customWidth="1"/>
    <col min="3073" max="3073" width="8.77734375" style="23" customWidth="1"/>
    <col min="3074" max="3074" width="12.77734375" style="23" customWidth="1"/>
    <col min="3075" max="3075" width="10.77734375" style="23" customWidth="1"/>
    <col min="3076" max="3076" width="8.77734375" style="23" customWidth="1"/>
    <col min="3077" max="3077" width="8.88671875" style="23"/>
    <col min="3078" max="3078" width="12.44140625" style="23" customWidth="1"/>
    <col min="3079" max="3079" width="12.33203125" style="23" customWidth="1"/>
    <col min="3080" max="3080" width="8.88671875" style="23"/>
    <col min="3081" max="3081" width="12.109375" style="23" customWidth="1"/>
    <col min="3082" max="3324" width="8.88671875" style="23"/>
    <col min="3325" max="3325" width="15.77734375" style="23" customWidth="1"/>
    <col min="3326" max="3326" width="12.77734375" style="23" customWidth="1"/>
    <col min="3327" max="3327" width="8.77734375" style="23" customWidth="1"/>
    <col min="3328" max="3328" width="13.77734375" style="23" customWidth="1"/>
    <col min="3329" max="3329" width="8.77734375" style="23" customWidth="1"/>
    <col min="3330" max="3330" width="12.77734375" style="23" customWidth="1"/>
    <col min="3331" max="3331" width="10.77734375" style="23" customWidth="1"/>
    <col min="3332" max="3332" width="8.77734375" style="23" customWidth="1"/>
    <col min="3333" max="3333" width="8.88671875" style="23"/>
    <col min="3334" max="3334" width="12.44140625" style="23" customWidth="1"/>
    <col min="3335" max="3335" width="12.33203125" style="23" customWidth="1"/>
    <col min="3336" max="3336" width="8.88671875" style="23"/>
    <col min="3337" max="3337" width="12.109375" style="23" customWidth="1"/>
    <col min="3338" max="3580" width="8.88671875" style="23"/>
    <col min="3581" max="3581" width="15.77734375" style="23" customWidth="1"/>
    <col min="3582" max="3582" width="12.77734375" style="23" customWidth="1"/>
    <col min="3583" max="3583" width="8.77734375" style="23" customWidth="1"/>
    <col min="3584" max="3584" width="13.77734375" style="23" customWidth="1"/>
    <col min="3585" max="3585" width="8.77734375" style="23" customWidth="1"/>
    <col min="3586" max="3586" width="12.77734375" style="23" customWidth="1"/>
    <col min="3587" max="3587" width="10.77734375" style="23" customWidth="1"/>
    <col min="3588" max="3588" width="8.77734375" style="23" customWidth="1"/>
    <col min="3589" max="3589" width="8.88671875" style="23"/>
    <col min="3590" max="3590" width="12.44140625" style="23" customWidth="1"/>
    <col min="3591" max="3591" width="12.33203125" style="23" customWidth="1"/>
    <col min="3592" max="3592" width="8.88671875" style="23"/>
    <col min="3593" max="3593" width="12.109375" style="23" customWidth="1"/>
    <col min="3594" max="3836" width="8.88671875" style="23"/>
    <col min="3837" max="3837" width="15.77734375" style="23" customWidth="1"/>
    <col min="3838" max="3838" width="12.77734375" style="23" customWidth="1"/>
    <col min="3839" max="3839" width="8.77734375" style="23" customWidth="1"/>
    <col min="3840" max="3840" width="13.77734375" style="23" customWidth="1"/>
    <col min="3841" max="3841" width="8.77734375" style="23" customWidth="1"/>
    <col min="3842" max="3842" width="12.77734375" style="23" customWidth="1"/>
    <col min="3843" max="3843" width="10.77734375" style="23" customWidth="1"/>
    <col min="3844" max="3844" width="8.77734375" style="23" customWidth="1"/>
    <col min="3845" max="3845" width="8.88671875" style="23"/>
    <col min="3846" max="3846" width="12.44140625" style="23" customWidth="1"/>
    <col min="3847" max="3847" width="12.33203125" style="23" customWidth="1"/>
    <col min="3848" max="3848" width="8.88671875" style="23"/>
    <col min="3849" max="3849" width="12.109375" style="23" customWidth="1"/>
    <col min="3850" max="4092" width="8.88671875" style="23"/>
    <col min="4093" max="4093" width="15.77734375" style="23" customWidth="1"/>
    <col min="4094" max="4094" width="12.77734375" style="23" customWidth="1"/>
    <col min="4095" max="4095" width="8.77734375" style="23" customWidth="1"/>
    <col min="4096" max="4096" width="13.77734375" style="23" customWidth="1"/>
    <col min="4097" max="4097" width="8.77734375" style="23" customWidth="1"/>
    <col min="4098" max="4098" width="12.77734375" style="23" customWidth="1"/>
    <col min="4099" max="4099" width="10.77734375" style="23" customWidth="1"/>
    <col min="4100" max="4100" width="8.77734375" style="23" customWidth="1"/>
    <col min="4101" max="4101" width="8.88671875" style="23"/>
    <col min="4102" max="4102" width="12.44140625" style="23" customWidth="1"/>
    <col min="4103" max="4103" width="12.33203125" style="23" customWidth="1"/>
    <col min="4104" max="4104" width="8.88671875" style="23"/>
    <col min="4105" max="4105" width="12.109375" style="23" customWidth="1"/>
    <col min="4106" max="4348" width="8.88671875" style="23"/>
    <col min="4349" max="4349" width="15.77734375" style="23" customWidth="1"/>
    <col min="4350" max="4350" width="12.77734375" style="23" customWidth="1"/>
    <col min="4351" max="4351" width="8.77734375" style="23" customWidth="1"/>
    <col min="4352" max="4352" width="13.77734375" style="23" customWidth="1"/>
    <col min="4353" max="4353" width="8.77734375" style="23" customWidth="1"/>
    <col min="4354" max="4354" width="12.77734375" style="23" customWidth="1"/>
    <col min="4355" max="4355" width="10.77734375" style="23" customWidth="1"/>
    <col min="4356" max="4356" width="8.77734375" style="23" customWidth="1"/>
    <col min="4357" max="4357" width="8.88671875" style="23"/>
    <col min="4358" max="4358" width="12.44140625" style="23" customWidth="1"/>
    <col min="4359" max="4359" width="12.33203125" style="23" customWidth="1"/>
    <col min="4360" max="4360" width="8.88671875" style="23"/>
    <col min="4361" max="4361" width="12.109375" style="23" customWidth="1"/>
    <col min="4362" max="4604" width="8.88671875" style="23"/>
    <col min="4605" max="4605" width="15.77734375" style="23" customWidth="1"/>
    <col min="4606" max="4606" width="12.77734375" style="23" customWidth="1"/>
    <col min="4607" max="4607" width="8.77734375" style="23" customWidth="1"/>
    <col min="4608" max="4608" width="13.77734375" style="23" customWidth="1"/>
    <col min="4609" max="4609" width="8.77734375" style="23" customWidth="1"/>
    <col min="4610" max="4610" width="12.77734375" style="23" customWidth="1"/>
    <col min="4611" max="4611" width="10.77734375" style="23" customWidth="1"/>
    <col min="4612" max="4612" width="8.77734375" style="23" customWidth="1"/>
    <col min="4613" max="4613" width="8.88671875" style="23"/>
    <col min="4614" max="4614" width="12.44140625" style="23" customWidth="1"/>
    <col min="4615" max="4615" width="12.33203125" style="23" customWidth="1"/>
    <col min="4616" max="4616" width="8.88671875" style="23"/>
    <col min="4617" max="4617" width="12.109375" style="23" customWidth="1"/>
    <col min="4618" max="4860" width="8.88671875" style="23"/>
    <col min="4861" max="4861" width="15.77734375" style="23" customWidth="1"/>
    <col min="4862" max="4862" width="12.77734375" style="23" customWidth="1"/>
    <col min="4863" max="4863" width="8.77734375" style="23" customWidth="1"/>
    <col min="4864" max="4864" width="13.77734375" style="23" customWidth="1"/>
    <col min="4865" max="4865" width="8.77734375" style="23" customWidth="1"/>
    <col min="4866" max="4866" width="12.77734375" style="23" customWidth="1"/>
    <col min="4867" max="4867" width="10.77734375" style="23" customWidth="1"/>
    <col min="4868" max="4868" width="8.77734375" style="23" customWidth="1"/>
    <col min="4869" max="4869" width="8.88671875" style="23"/>
    <col min="4870" max="4870" width="12.44140625" style="23" customWidth="1"/>
    <col min="4871" max="4871" width="12.33203125" style="23" customWidth="1"/>
    <col min="4872" max="4872" width="8.88671875" style="23"/>
    <col min="4873" max="4873" width="12.109375" style="23" customWidth="1"/>
    <col min="4874" max="5116" width="8.88671875" style="23"/>
    <col min="5117" max="5117" width="15.77734375" style="23" customWidth="1"/>
    <col min="5118" max="5118" width="12.77734375" style="23" customWidth="1"/>
    <col min="5119" max="5119" width="8.77734375" style="23" customWidth="1"/>
    <col min="5120" max="5120" width="13.77734375" style="23" customWidth="1"/>
    <col min="5121" max="5121" width="8.77734375" style="23" customWidth="1"/>
    <col min="5122" max="5122" width="12.77734375" style="23" customWidth="1"/>
    <col min="5123" max="5123" width="10.77734375" style="23" customWidth="1"/>
    <col min="5124" max="5124" width="8.77734375" style="23" customWidth="1"/>
    <col min="5125" max="5125" width="8.88671875" style="23"/>
    <col min="5126" max="5126" width="12.44140625" style="23" customWidth="1"/>
    <col min="5127" max="5127" width="12.33203125" style="23" customWidth="1"/>
    <col min="5128" max="5128" width="8.88671875" style="23"/>
    <col min="5129" max="5129" width="12.109375" style="23" customWidth="1"/>
    <col min="5130" max="5372" width="8.88671875" style="23"/>
    <col min="5373" max="5373" width="15.77734375" style="23" customWidth="1"/>
    <col min="5374" max="5374" width="12.77734375" style="23" customWidth="1"/>
    <col min="5375" max="5375" width="8.77734375" style="23" customWidth="1"/>
    <col min="5376" max="5376" width="13.77734375" style="23" customWidth="1"/>
    <col min="5377" max="5377" width="8.77734375" style="23" customWidth="1"/>
    <col min="5378" max="5378" width="12.77734375" style="23" customWidth="1"/>
    <col min="5379" max="5379" width="10.77734375" style="23" customWidth="1"/>
    <col min="5380" max="5380" width="8.77734375" style="23" customWidth="1"/>
    <col min="5381" max="5381" width="8.88671875" style="23"/>
    <col min="5382" max="5382" width="12.44140625" style="23" customWidth="1"/>
    <col min="5383" max="5383" width="12.33203125" style="23" customWidth="1"/>
    <col min="5384" max="5384" width="8.88671875" style="23"/>
    <col min="5385" max="5385" width="12.109375" style="23" customWidth="1"/>
    <col min="5386" max="5628" width="8.88671875" style="23"/>
    <col min="5629" max="5629" width="15.77734375" style="23" customWidth="1"/>
    <col min="5630" max="5630" width="12.77734375" style="23" customWidth="1"/>
    <col min="5631" max="5631" width="8.77734375" style="23" customWidth="1"/>
    <col min="5632" max="5632" width="13.77734375" style="23" customWidth="1"/>
    <col min="5633" max="5633" width="8.77734375" style="23" customWidth="1"/>
    <col min="5634" max="5634" width="12.77734375" style="23" customWidth="1"/>
    <col min="5635" max="5635" width="10.77734375" style="23" customWidth="1"/>
    <col min="5636" max="5636" width="8.77734375" style="23" customWidth="1"/>
    <col min="5637" max="5637" width="8.88671875" style="23"/>
    <col min="5638" max="5638" width="12.44140625" style="23" customWidth="1"/>
    <col min="5639" max="5639" width="12.33203125" style="23" customWidth="1"/>
    <col min="5640" max="5640" width="8.88671875" style="23"/>
    <col min="5641" max="5641" width="12.109375" style="23" customWidth="1"/>
    <col min="5642" max="5884" width="8.88671875" style="23"/>
    <col min="5885" max="5885" width="15.77734375" style="23" customWidth="1"/>
    <col min="5886" max="5886" width="12.77734375" style="23" customWidth="1"/>
    <col min="5887" max="5887" width="8.77734375" style="23" customWidth="1"/>
    <col min="5888" max="5888" width="13.77734375" style="23" customWidth="1"/>
    <col min="5889" max="5889" width="8.77734375" style="23" customWidth="1"/>
    <col min="5890" max="5890" width="12.77734375" style="23" customWidth="1"/>
    <col min="5891" max="5891" width="10.77734375" style="23" customWidth="1"/>
    <col min="5892" max="5892" width="8.77734375" style="23" customWidth="1"/>
    <col min="5893" max="5893" width="8.88671875" style="23"/>
    <col min="5894" max="5894" width="12.44140625" style="23" customWidth="1"/>
    <col min="5895" max="5895" width="12.33203125" style="23" customWidth="1"/>
    <col min="5896" max="5896" width="8.88671875" style="23"/>
    <col min="5897" max="5897" width="12.109375" style="23" customWidth="1"/>
    <col min="5898" max="6140" width="8.88671875" style="23"/>
    <col min="6141" max="6141" width="15.77734375" style="23" customWidth="1"/>
    <col min="6142" max="6142" width="12.77734375" style="23" customWidth="1"/>
    <col min="6143" max="6143" width="8.77734375" style="23" customWidth="1"/>
    <col min="6144" max="6144" width="13.77734375" style="23" customWidth="1"/>
    <col min="6145" max="6145" width="8.77734375" style="23" customWidth="1"/>
    <col min="6146" max="6146" width="12.77734375" style="23" customWidth="1"/>
    <col min="6147" max="6147" width="10.77734375" style="23" customWidth="1"/>
    <col min="6148" max="6148" width="8.77734375" style="23" customWidth="1"/>
    <col min="6149" max="6149" width="8.88671875" style="23"/>
    <col min="6150" max="6150" width="12.44140625" style="23" customWidth="1"/>
    <col min="6151" max="6151" width="12.33203125" style="23" customWidth="1"/>
    <col min="6152" max="6152" width="8.88671875" style="23"/>
    <col min="6153" max="6153" width="12.109375" style="23" customWidth="1"/>
    <col min="6154" max="6396" width="8.88671875" style="23"/>
    <col min="6397" max="6397" width="15.77734375" style="23" customWidth="1"/>
    <col min="6398" max="6398" width="12.77734375" style="23" customWidth="1"/>
    <col min="6399" max="6399" width="8.77734375" style="23" customWidth="1"/>
    <col min="6400" max="6400" width="13.77734375" style="23" customWidth="1"/>
    <col min="6401" max="6401" width="8.77734375" style="23" customWidth="1"/>
    <col min="6402" max="6402" width="12.77734375" style="23" customWidth="1"/>
    <col min="6403" max="6403" width="10.77734375" style="23" customWidth="1"/>
    <col min="6404" max="6404" width="8.77734375" style="23" customWidth="1"/>
    <col min="6405" max="6405" width="8.88671875" style="23"/>
    <col min="6406" max="6406" width="12.44140625" style="23" customWidth="1"/>
    <col min="6407" max="6407" width="12.33203125" style="23" customWidth="1"/>
    <col min="6408" max="6408" width="8.88671875" style="23"/>
    <col min="6409" max="6409" width="12.109375" style="23" customWidth="1"/>
    <col min="6410" max="6652" width="8.88671875" style="23"/>
    <col min="6653" max="6653" width="15.77734375" style="23" customWidth="1"/>
    <col min="6654" max="6654" width="12.77734375" style="23" customWidth="1"/>
    <col min="6655" max="6655" width="8.77734375" style="23" customWidth="1"/>
    <col min="6656" max="6656" width="13.77734375" style="23" customWidth="1"/>
    <col min="6657" max="6657" width="8.77734375" style="23" customWidth="1"/>
    <col min="6658" max="6658" width="12.77734375" style="23" customWidth="1"/>
    <col min="6659" max="6659" width="10.77734375" style="23" customWidth="1"/>
    <col min="6660" max="6660" width="8.77734375" style="23" customWidth="1"/>
    <col min="6661" max="6661" width="8.88671875" style="23"/>
    <col min="6662" max="6662" width="12.44140625" style="23" customWidth="1"/>
    <col min="6663" max="6663" width="12.33203125" style="23" customWidth="1"/>
    <col min="6664" max="6664" width="8.88671875" style="23"/>
    <col min="6665" max="6665" width="12.109375" style="23" customWidth="1"/>
    <col min="6666" max="6908" width="8.88671875" style="23"/>
    <col min="6909" max="6909" width="15.77734375" style="23" customWidth="1"/>
    <col min="6910" max="6910" width="12.77734375" style="23" customWidth="1"/>
    <col min="6911" max="6911" width="8.77734375" style="23" customWidth="1"/>
    <col min="6912" max="6912" width="13.77734375" style="23" customWidth="1"/>
    <col min="6913" max="6913" width="8.77734375" style="23" customWidth="1"/>
    <col min="6914" max="6914" width="12.77734375" style="23" customWidth="1"/>
    <col min="6915" max="6915" width="10.77734375" style="23" customWidth="1"/>
    <col min="6916" max="6916" width="8.77734375" style="23" customWidth="1"/>
    <col min="6917" max="6917" width="8.88671875" style="23"/>
    <col min="6918" max="6918" width="12.44140625" style="23" customWidth="1"/>
    <col min="6919" max="6919" width="12.33203125" style="23" customWidth="1"/>
    <col min="6920" max="6920" width="8.88671875" style="23"/>
    <col min="6921" max="6921" width="12.109375" style="23" customWidth="1"/>
    <col min="6922" max="7164" width="8.88671875" style="23"/>
    <col min="7165" max="7165" width="15.77734375" style="23" customWidth="1"/>
    <col min="7166" max="7166" width="12.77734375" style="23" customWidth="1"/>
    <col min="7167" max="7167" width="8.77734375" style="23" customWidth="1"/>
    <col min="7168" max="7168" width="13.77734375" style="23" customWidth="1"/>
    <col min="7169" max="7169" width="8.77734375" style="23" customWidth="1"/>
    <col min="7170" max="7170" width="12.77734375" style="23" customWidth="1"/>
    <col min="7171" max="7171" width="10.77734375" style="23" customWidth="1"/>
    <col min="7172" max="7172" width="8.77734375" style="23" customWidth="1"/>
    <col min="7173" max="7173" width="8.88671875" style="23"/>
    <col min="7174" max="7174" width="12.44140625" style="23" customWidth="1"/>
    <col min="7175" max="7175" width="12.33203125" style="23" customWidth="1"/>
    <col min="7176" max="7176" width="8.88671875" style="23"/>
    <col min="7177" max="7177" width="12.109375" style="23" customWidth="1"/>
    <col min="7178" max="7420" width="8.88671875" style="23"/>
    <col min="7421" max="7421" width="15.77734375" style="23" customWidth="1"/>
    <col min="7422" max="7422" width="12.77734375" style="23" customWidth="1"/>
    <col min="7423" max="7423" width="8.77734375" style="23" customWidth="1"/>
    <col min="7424" max="7424" width="13.77734375" style="23" customWidth="1"/>
    <col min="7425" max="7425" width="8.77734375" style="23" customWidth="1"/>
    <col min="7426" max="7426" width="12.77734375" style="23" customWidth="1"/>
    <col min="7427" max="7427" width="10.77734375" style="23" customWidth="1"/>
    <col min="7428" max="7428" width="8.77734375" style="23" customWidth="1"/>
    <col min="7429" max="7429" width="8.88671875" style="23"/>
    <col min="7430" max="7430" width="12.44140625" style="23" customWidth="1"/>
    <col min="7431" max="7431" width="12.33203125" style="23" customWidth="1"/>
    <col min="7432" max="7432" width="8.88671875" style="23"/>
    <col min="7433" max="7433" width="12.109375" style="23" customWidth="1"/>
    <col min="7434" max="7676" width="8.88671875" style="23"/>
    <col min="7677" max="7677" width="15.77734375" style="23" customWidth="1"/>
    <col min="7678" max="7678" width="12.77734375" style="23" customWidth="1"/>
    <col min="7679" max="7679" width="8.77734375" style="23" customWidth="1"/>
    <col min="7680" max="7680" width="13.77734375" style="23" customWidth="1"/>
    <col min="7681" max="7681" width="8.77734375" style="23" customWidth="1"/>
    <col min="7682" max="7682" width="12.77734375" style="23" customWidth="1"/>
    <col min="7683" max="7683" width="10.77734375" style="23" customWidth="1"/>
    <col min="7684" max="7684" width="8.77734375" style="23" customWidth="1"/>
    <col min="7685" max="7685" width="8.88671875" style="23"/>
    <col min="7686" max="7686" width="12.44140625" style="23" customWidth="1"/>
    <col min="7687" max="7687" width="12.33203125" style="23" customWidth="1"/>
    <col min="7688" max="7688" width="8.88671875" style="23"/>
    <col min="7689" max="7689" width="12.109375" style="23" customWidth="1"/>
    <col min="7690" max="7932" width="8.88671875" style="23"/>
    <col min="7933" max="7933" width="15.77734375" style="23" customWidth="1"/>
    <col min="7934" max="7934" width="12.77734375" style="23" customWidth="1"/>
    <col min="7935" max="7935" width="8.77734375" style="23" customWidth="1"/>
    <col min="7936" max="7936" width="13.77734375" style="23" customWidth="1"/>
    <col min="7937" max="7937" width="8.77734375" style="23" customWidth="1"/>
    <col min="7938" max="7938" width="12.77734375" style="23" customWidth="1"/>
    <col min="7939" max="7939" width="10.77734375" style="23" customWidth="1"/>
    <col min="7940" max="7940" width="8.77734375" style="23" customWidth="1"/>
    <col min="7941" max="7941" width="8.88671875" style="23"/>
    <col min="7942" max="7942" width="12.44140625" style="23" customWidth="1"/>
    <col min="7943" max="7943" width="12.33203125" style="23" customWidth="1"/>
    <col min="7944" max="7944" width="8.88671875" style="23"/>
    <col min="7945" max="7945" width="12.109375" style="23" customWidth="1"/>
    <col min="7946" max="8188" width="8.88671875" style="23"/>
    <col min="8189" max="8189" width="15.77734375" style="23" customWidth="1"/>
    <col min="8190" max="8190" width="12.77734375" style="23" customWidth="1"/>
    <col min="8191" max="8191" width="8.77734375" style="23" customWidth="1"/>
    <col min="8192" max="8192" width="13.77734375" style="23" customWidth="1"/>
    <col min="8193" max="8193" width="8.77734375" style="23" customWidth="1"/>
    <col min="8194" max="8194" width="12.77734375" style="23" customWidth="1"/>
    <col min="8195" max="8195" width="10.77734375" style="23" customWidth="1"/>
    <col min="8196" max="8196" width="8.77734375" style="23" customWidth="1"/>
    <col min="8197" max="8197" width="8.88671875" style="23"/>
    <col min="8198" max="8198" width="12.44140625" style="23" customWidth="1"/>
    <col min="8199" max="8199" width="12.33203125" style="23" customWidth="1"/>
    <col min="8200" max="8200" width="8.88671875" style="23"/>
    <col min="8201" max="8201" width="12.109375" style="23" customWidth="1"/>
    <col min="8202" max="8444" width="8.88671875" style="23"/>
    <col min="8445" max="8445" width="15.77734375" style="23" customWidth="1"/>
    <col min="8446" max="8446" width="12.77734375" style="23" customWidth="1"/>
    <col min="8447" max="8447" width="8.77734375" style="23" customWidth="1"/>
    <col min="8448" max="8448" width="13.77734375" style="23" customWidth="1"/>
    <col min="8449" max="8449" width="8.77734375" style="23" customWidth="1"/>
    <col min="8450" max="8450" width="12.77734375" style="23" customWidth="1"/>
    <col min="8451" max="8451" width="10.77734375" style="23" customWidth="1"/>
    <col min="8452" max="8452" width="8.77734375" style="23" customWidth="1"/>
    <col min="8453" max="8453" width="8.88671875" style="23"/>
    <col min="8454" max="8454" width="12.44140625" style="23" customWidth="1"/>
    <col min="8455" max="8455" width="12.33203125" style="23" customWidth="1"/>
    <col min="8456" max="8456" width="8.88671875" style="23"/>
    <col min="8457" max="8457" width="12.109375" style="23" customWidth="1"/>
    <col min="8458" max="8700" width="8.88671875" style="23"/>
    <col min="8701" max="8701" width="15.77734375" style="23" customWidth="1"/>
    <col min="8702" max="8702" width="12.77734375" style="23" customWidth="1"/>
    <col min="8703" max="8703" width="8.77734375" style="23" customWidth="1"/>
    <col min="8704" max="8704" width="13.77734375" style="23" customWidth="1"/>
    <col min="8705" max="8705" width="8.77734375" style="23" customWidth="1"/>
    <col min="8706" max="8706" width="12.77734375" style="23" customWidth="1"/>
    <col min="8707" max="8707" width="10.77734375" style="23" customWidth="1"/>
    <col min="8708" max="8708" width="8.77734375" style="23" customWidth="1"/>
    <col min="8709" max="8709" width="8.88671875" style="23"/>
    <col min="8710" max="8710" width="12.44140625" style="23" customWidth="1"/>
    <col min="8711" max="8711" width="12.33203125" style="23" customWidth="1"/>
    <col min="8712" max="8712" width="8.88671875" style="23"/>
    <col min="8713" max="8713" width="12.109375" style="23" customWidth="1"/>
    <col min="8714" max="8956" width="8.88671875" style="23"/>
    <col min="8957" max="8957" width="15.77734375" style="23" customWidth="1"/>
    <col min="8958" max="8958" width="12.77734375" style="23" customWidth="1"/>
    <col min="8959" max="8959" width="8.77734375" style="23" customWidth="1"/>
    <col min="8960" max="8960" width="13.77734375" style="23" customWidth="1"/>
    <col min="8961" max="8961" width="8.77734375" style="23" customWidth="1"/>
    <col min="8962" max="8962" width="12.77734375" style="23" customWidth="1"/>
    <col min="8963" max="8963" width="10.77734375" style="23" customWidth="1"/>
    <col min="8964" max="8964" width="8.77734375" style="23" customWidth="1"/>
    <col min="8965" max="8965" width="8.88671875" style="23"/>
    <col min="8966" max="8966" width="12.44140625" style="23" customWidth="1"/>
    <col min="8967" max="8967" width="12.33203125" style="23" customWidth="1"/>
    <col min="8968" max="8968" width="8.88671875" style="23"/>
    <col min="8969" max="8969" width="12.109375" style="23" customWidth="1"/>
    <col min="8970" max="9212" width="8.88671875" style="23"/>
    <col min="9213" max="9213" width="15.77734375" style="23" customWidth="1"/>
    <col min="9214" max="9214" width="12.77734375" style="23" customWidth="1"/>
    <col min="9215" max="9215" width="8.77734375" style="23" customWidth="1"/>
    <col min="9216" max="9216" width="13.77734375" style="23" customWidth="1"/>
    <col min="9217" max="9217" width="8.77734375" style="23" customWidth="1"/>
    <col min="9218" max="9218" width="12.77734375" style="23" customWidth="1"/>
    <col min="9219" max="9219" width="10.77734375" style="23" customWidth="1"/>
    <col min="9220" max="9220" width="8.77734375" style="23" customWidth="1"/>
    <col min="9221" max="9221" width="8.88671875" style="23"/>
    <col min="9222" max="9222" width="12.44140625" style="23" customWidth="1"/>
    <col min="9223" max="9223" width="12.33203125" style="23" customWidth="1"/>
    <col min="9224" max="9224" width="8.88671875" style="23"/>
    <col min="9225" max="9225" width="12.109375" style="23" customWidth="1"/>
    <col min="9226" max="9468" width="8.88671875" style="23"/>
    <col min="9469" max="9469" width="15.77734375" style="23" customWidth="1"/>
    <col min="9470" max="9470" width="12.77734375" style="23" customWidth="1"/>
    <col min="9471" max="9471" width="8.77734375" style="23" customWidth="1"/>
    <col min="9472" max="9472" width="13.77734375" style="23" customWidth="1"/>
    <col min="9473" max="9473" width="8.77734375" style="23" customWidth="1"/>
    <col min="9474" max="9474" width="12.77734375" style="23" customWidth="1"/>
    <col min="9475" max="9475" width="10.77734375" style="23" customWidth="1"/>
    <col min="9476" max="9476" width="8.77734375" style="23" customWidth="1"/>
    <col min="9477" max="9477" width="8.88671875" style="23"/>
    <col min="9478" max="9478" width="12.44140625" style="23" customWidth="1"/>
    <col min="9479" max="9479" width="12.33203125" style="23" customWidth="1"/>
    <col min="9480" max="9480" width="8.88671875" style="23"/>
    <col min="9481" max="9481" width="12.109375" style="23" customWidth="1"/>
    <col min="9482" max="9724" width="8.88671875" style="23"/>
    <col min="9725" max="9725" width="15.77734375" style="23" customWidth="1"/>
    <col min="9726" max="9726" width="12.77734375" style="23" customWidth="1"/>
    <col min="9727" max="9727" width="8.77734375" style="23" customWidth="1"/>
    <col min="9728" max="9728" width="13.77734375" style="23" customWidth="1"/>
    <col min="9729" max="9729" width="8.77734375" style="23" customWidth="1"/>
    <col min="9730" max="9730" width="12.77734375" style="23" customWidth="1"/>
    <col min="9731" max="9731" width="10.77734375" style="23" customWidth="1"/>
    <col min="9732" max="9732" width="8.77734375" style="23" customWidth="1"/>
    <col min="9733" max="9733" width="8.88671875" style="23"/>
    <col min="9734" max="9734" width="12.44140625" style="23" customWidth="1"/>
    <col min="9735" max="9735" width="12.33203125" style="23" customWidth="1"/>
    <col min="9736" max="9736" width="8.88671875" style="23"/>
    <col min="9737" max="9737" width="12.109375" style="23" customWidth="1"/>
    <col min="9738" max="9980" width="8.88671875" style="23"/>
    <col min="9981" max="9981" width="15.77734375" style="23" customWidth="1"/>
    <col min="9982" max="9982" width="12.77734375" style="23" customWidth="1"/>
    <col min="9983" max="9983" width="8.77734375" style="23" customWidth="1"/>
    <col min="9984" max="9984" width="13.77734375" style="23" customWidth="1"/>
    <col min="9985" max="9985" width="8.77734375" style="23" customWidth="1"/>
    <col min="9986" max="9986" width="12.77734375" style="23" customWidth="1"/>
    <col min="9987" max="9987" width="10.77734375" style="23" customWidth="1"/>
    <col min="9988" max="9988" width="8.77734375" style="23" customWidth="1"/>
    <col min="9989" max="9989" width="8.88671875" style="23"/>
    <col min="9990" max="9990" width="12.44140625" style="23" customWidth="1"/>
    <col min="9991" max="9991" width="12.33203125" style="23" customWidth="1"/>
    <col min="9992" max="9992" width="8.88671875" style="23"/>
    <col min="9993" max="9993" width="12.109375" style="23" customWidth="1"/>
    <col min="9994" max="10236" width="8.88671875" style="23"/>
    <col min="10237" max="10237" width="15.77734375" style="23" customWidth="1"/>
    <col min="10238" max="10238" width="12.77734375" style="23" customWidth="1"/>
    <col min="10239" max="10239" width="8.77734375" style="23" customWidth="1"/>
    <col min="10240" max="10240" width="13.77734375" style="23" customWidth="1"/>
    <col min="10241" max="10241" width="8.77734375" style="23" customWidth="1"/>
    <col min="10242" max="10242" width="12.77734375" style="23" customWidth="1"/>
    <col min="10243" max="10243" width="10.77734375" style="23" customWidth="1"/>
    <col min="10244" max="10244" width="8.77734375" style="23" customWidth="1"/>
    <col min="10245" max="10245" width="8.88671875" style="23"/>
    <col min="10246" max="10246" width="12.44140625" style="23" customWidth="1"/>
    <col min="10247" max="10247" width="12.33203125" style="23" customWidth="1"/>
    <col min="10248" max="10248" width="8.88671875" style="23"/>
    <col min="10249" max="10249" width="12.109375" style="23" customWidth="1"/>
    <col min="10250" max="10492" width="8.88671875" style="23"/>
    <col min="10493" max="10493" width="15.77734375" style="23" customWidth="1"/>
    <col min="10494" max="10494" width="12.77734375" style="23" customWidth="1"/>
    <col min="10495" max="10495" width="8.77734375" style="23" customWidth="1"/>
    <col min="10496" max="10496" width="13.77734375" style="23" customWidth="1"/>
    <col min="10497" max="10497" width="8.77734375" style="23" customWidth="1"/>
    <col min="10498" max="10498" width="12.77734375" style="23" customWidth="1"/>
    <col min="10499" max="10499" width="10.77734375" style="23" customWidth="1"/>
    <col min="10500" max="10500" width="8.77734375" style="23" customWidth="1"/>
    <col min="10501" max="10501" width="8.88671875" style="23"/>
    <col min="10502" max="10502" width="12.44140625" style="23" customWidth="1"/>
    <col min="10503" max="10503" width="12.33203125" style="23" customWidth="1"/>
    <col min="10504" max="10504" width="8.88671875" style="23"/>
    <col min="10505" max="10505" width="12.109375" style="23" customWidth="1"/>
    <col min="10506" max="10748" width="8.88671875" style="23"/>
    <col min="10749" max="10749" width="15.77734375" style="23" customWidth="1"/>
    <col min="10750" max="10750" width="12.77734375" style="23" customWidth="1"/>
    <col min="10751" max="10751" width="8.77734375" style="23" customWidth="1"/>
    <col min="10752" max="10752" width="13.77734375" style="23" customWidth="1"/>
    <col min="10753" max="10753" width="8.77734375" style="23" customWidth="1"/>
    <col min="10754" max="10754" width="12.77734375" style="23" customWidth="1"/>
    <col min="10755" max="10755" width="10.77734375" style="23" customWidth="1"/>
    <col min="10756" max="10756" width="8.77734375" style="23" customWidth="1"/>
    <col min="10757" max="10757" width="8.88671875" style="23"/>
    <col min="10758" max="10758" width="12.44140625" style="23" customWidth="1"/>
    <col min="10759" max="10759" width="12.33203125" style="23" customWidth="1"/>
    <col min="10760" max="10760" width="8.88671875" style="23"/>
    <col min="10761" max="10761" width="12.109375" style="23" customWidth="1"/>
    <col min="10762" max="11004" width="8.88671875" style="23"/>
    <col min="11005" max="11005" width="15.77734375" style="23" customWidth="1"/>
    <col min="11006" max="11006" width="12.77734375" style="23" customWidth="1"/>
    <col min="11007" max="11007" width="8.77734375" style="23" customWidth="1"/>
    <col min="11008" max="11008" width="13.77734375" style="23" customWidth="1"/>
    <col min="11009" max="11009" width="8.77734375" style="23" customWidth="1"/>
    <col min="11010" max="11010" width="12.77734375" style="23" customWidth="1"/>
    <col min="11011" max="11011" width="10.77734375" style="23" customWidth="1"/>
    <col min="11012" max="11012" width="8.77734375" style="23" customWidth="1"/>
    <col min="11013" max="11013" width="8.88671875" style="23"/>
    <col min="11014" max="11014" width="12.44140625" style="23" customWidth="1"/>
    <col min="11015" max="11015" width="12.33203125" style="23" customWidth="1"/>
    <col min="11016" max="11016" width="8.88671875" style="23"/>
    <col min="11017" max="11017" width="12.109375" style="23" customWidth="1"/>
    <col min="11018" max="11260" width="8.88671875" style="23"/>
    <col min="11261" max="11261" width="15.77734375" style="23" customWidth="1"/>
    <col min="11262" max="11262" width="12.77734375" style="23" customWidth="1"/>
    <col min="11263" max="11263" width="8.77734375" style="23" customWidth="1"/>
    <col min="11264" max="11264" width="13.77734375" style="23" customWidth="1"/>
    <col min="11265" max="11265" width="8.77734375" style="23" customWidth="1"/>
    <col min="11266" max="11266" width="12.77734375" style="23" customWidth="1"/>
    <col min="11267" max="11267" width="10.77734375" style="23" customWidth="1"/>
    <col min="11268" max="11268" width="8.77734375" style="23" customWidth="1"/>
    <col min="11269" max="11269" width="8.88671875" style="23"/>
    <col min="11270" max="11270" width="12.44140625" style="23" customWidth="1"/>
    <col min="11271" max="11271" width="12.33203125" style="23" customWidth="1"/>
    <col min="11272" max="11272" width="8.88671875" style="23"/>
    <col min="11273" max="11273" width="12.109375" style="23" customWidth="1"/>
    <col min="11274" max="11516" width="8.88671875" style="23"/>
    <col min="11517" max="11517" width="15.77734375" style="23" customWidth="1"/>
    <col min="11518" max="11518" width="12.77734375" style="23" customWidth="1"/>
    <col min="11519" max="11519" width="8.77734375" style="23" customWidth="1"/>
    <col min="11520" max="11520" width="13.77734375" style="23" customWidth="1"/>
    <col min="11521" max="11521" width="8.77734375" style="23" customWidth="1"/>
    <col min="11522" max="11522" width="12.77734375" style="23" customWidth="1"/>
    <col min="11523" max="11523" width="10.77734375" style="23" customWidth="1"/>
    <col min="11524" max="11524" width="8.77734375" style="23" customWidth="1"/>
    <col min="11525" max="11525" width="8.88671875" style="23"/>
    <col min="11526" max="11526" width="12.44140625" style="23" customWidth="1"/>
    <col min="11527" max="11527" width="12.33203125" style="23" customWidth="1"/>
    <col min="11528" max="11528" width="8.88671875" style="23"/>
    <col min="11529" max="11529" width="12.109375" style="23" customWidth="1"/>
    <col min="11530" max="11772" width="8.88671875" style="23"/>
    <col min="11773" max="11773" width="15.77734375" style="23" customWidth="1"/>
    <col min="11774" max="11774" width="12.77734375" style="23" customWidth="1"/>
    <col min="11775" max="11775" width="8.77734375" style="23" customWidth="1"/>
    <col min="11776" max="11776" width="13.77734375" style="23" customWidth="1"/>
    <col min="11777" max="11777" width="8.77734375" style="23" customWidth="1"/>
    <col min="11778" max="11778" width="12.77734375" style="23" customWidth="1"/>
    <col min="11779" max="11779" width="10.77734375" style="23" customWidth="1"/>
    <col min="11780" max="11780" width="8.77734375" style="23" customWidth="1"/>
    <col min="11781" max="11781" width="8.88671875" style="23"/>
    <col min="11782" max="11782" width="12.44140625" style="23" customWidth="1"/>
    <col min="11783" max="11783" width="12.33203125" style="23" customWidth="1"/>
    <col min="11784" max="11784" width="8.88671875" style="23"/>
    <col min="11785" max="11785" width="12.109375" style="23" customWidth="1"/>
    <col min="11786" max="12028" width="8.88671875" style="23"/>
    <col min="12029" max="12029" width="15.77734375" style="23" customWidth="1"/>
    <col min="12030" max="12030" width="12.77734375" style="23" customWidth="1"/>
    <col min="12031" max="12031" width="8.77734375" style="23" customWidth="1"/>
    <col min="12032" max="12032" width="13.77734375" style="23" customWidth="1"/>
    <col min="12033" max="12033" width="8.77734375" style="23" customWidth="1"/>
    <col min="12034" max="12034" width="12.77734375" style="23" customWidth="1"/>
    <col min="12035" max="12035" width="10.77734375" style="23" customWidth="1"/>
    <col min="12036" max="12036" width="8.77734375" style="23" customWidth="1"/>
    <col min="12037" max="12037" width="8.88671875" style="23"/>
    <col min="12038" max="12038" width="12.44140625" style="23" customWidth="1"/>
    <col min="12039" max="12039" width="12.33203125" style="23" customWidth="1"/>
    <col min="12040" max="12040" width="8.88671875" style="23"/>
    <col min="12041" max="12041" width="12.109375" style="23" customWidth="1"/>
    <col min="12042" max="12284" width="8.88671875" style="23"/>
    <col min="12285" max="12285" width="15.77734375" style="23" customWidth="1"/>
    <col min="12286" max="12286" width="12.77734375" style="23" customWidth="1"/>
    <col min="12287" max="12287" width="8.77734375" style="23" customWidth="1"/>
    <col min="12288" max="12288" width="13.77734375" style="23" customWidth="1"/>
    <col min="12289" max="12289" width="8.77734375" style="23" customWidth="1"/>
    <col min="12290" max="12290" width="12.77734375" style="23" customWidth="1"/>
    <col min="12291" max="12291" width="10.77734375" style="23" customWidth="1"/>
    <col min="12292" max="12292" width="8.77734375" style="23" customWidth="1"/>
    <col min="12293" max="12293" width="8.88671875" style="23"/>
    <col min="12294" max="12294" width="12.44140625" style="23" customWidth="1"/>
    <col min="12295" max="12295" width="12.33203125" style="23" customWidth="1"/>
    <col min="12296" max="12296" width="8.88671875" style="23"/>
    <col min="12297" max="12297" width="12.109375" style="23" customWidth="1"/>
    <col min="12298" max="12540" width="8.88671875" style="23"/>
    <col min="12541" max="12541" width="15.77734375" style="23" customWidth="1"/>
    <col min="12542" max="12542" width="12.77734375" style="23" customWidth="1"/>
    <col min="12543" max="12543" width="8.77734375" style="23" customWidth="1"/>
    <col min="12544" max="12544" width="13.77734375" style="23" customWidth="1"/>
    <col min="12545" max="12545" width="8.77734375" style="23" customWidth="1"/>
    <col min="12546" max="12546" width="12.77734375" style="23" customWidth="1"/>
    <col min="12547" max="12547" width="10.77734375" style="23" customWidth="1"/>
    <col min="12548" max="12548" width="8.77734375" style="23" customWidth="1"/>
    <col min="12549" max="12549" width="8.88671875" style="23"/>
    <col min="12550" max="12550" width="12.44140625" style="23" customWidth="1"/>
    <col min="12551" max="12551" width="12.33203125" style="23" customWidth="1"/>
    <col min="12552" max="12552" width="8.88671875" style="23"/>
    <col min="12553" max="12553" width="12.109375" style="23" customWidth="1"/>
    <col min="12554" max="12796" width="8.88671875" style="23"/>
    <col min="12797" max="12797" width="15.77734375" style="23" customWidth="1"/>
    <col min="12798" max="12798" width="12.77734375" style="23" customWidth="1"/>
    <col min="12799" max="12799" width="8.77734375" style="23" customWidth="1"/>
    <col min="12800" max="12800" width="13.77734375" style="23" customWidth="1"/>
    <col min="12801" max="12801" width="8.77734375" style="23" customWidth="1"/>
    <col min="12802" max="12802" width="12.77734375" style="23" customWidth="1"/>
    <col min="12803" max="12803" width="10.77734375" style="23" customWidth="1"/>
    <col min="12804" max="12804" width="8.77734375" style="23" customWidth="1"/>
    <col min="12805" max="12805" width="8.88671875" style="23"/>
    <col min="12806" max="12806" width="12.44140625" style="23" customWidth="1"/>
    <col min="12807" max="12807" width="12.33203125" style="23" customWidth="1"/>
    <col min="12808" max="12808" width="8.88671875" style="23"/>
    <col min="12809" max="12809" width="12.109375" style="23" customWidth="1"/>
    <col min="12810" max="13052" width="8.88671875" style="23"/>
    <col min="13053" max="13053" width="15.77734375" style="23" customWidth="1"/>
    <col min="13054" max="13054" width="12.77734375" style="23" customWidth="1"/>
    <col min="13055" max="13055" width="8.77734375" style="23" customWidth="1"/>
    <col min="13056" max="13056" width="13.77734375" style="23" customWidth="1"/>
    <col min="13057" max="13057" width="8.77734375" style="23" customWidth="1"/>
    <col min="13058" max="13058" width="12.77734375" style="23" customWidth="1"/>
    <col min="13059" max="13059" width="10.77734375" style="23" customWidth="1"/>
    <col min="13060" max="13060" width="8.77734375" style="23" customWidth="1"/>
    <col min="13061" max="13061" width="8.88671875" style="23"/>
    <col min="13062" max="13062" width="12.44140625" style="23" customWidth="1"/>
    <col min="13063" max="13063" width="12.33203125" style="23" customWidth="1"/>
    <col min="13064" max="13064" width="8.88671875" style="23"/>
    <col min="13065" max="13065" width="12.109375" style="23" customWidth="1"/>
    <col min="13066" max="13308" width="8.88671875" style="23"/>
    <col min="13309" max="13309" width="15.77734375" style="23" customWidth="1"/>
    <col min="13310" max="13310" width="12.77734375" style="23" customWidth="1"/>
    <col min="13311" max="13311" width="8.77734375" style="23" customWidth="1"/>
    <col min="13312" max="13312" width="13.77734375" style="23" customWidth="1"/>
    <col min="13313" max="13313" width="8.77734375" style="23" customWidth="1"/>
    <col min="13314" max="13314" width="12.77734375" style="23" customWidth="1"/>
    <col min="13315" max="13315" width="10.77734375" style="23" customWidth="1"/>
    <col min="13316" max="13316" width="8.77734375" style="23" customWidth="1"/>
    <col min="13317" max="13317" width="8.88671875" style="23"/>
    <col min="13318" max="13318" width="12.44140625" style="23" customWidth="1"/>
    <col min="13319" max="13319" width="12.33203125" style="23" customWidth="1"/>
    <col min="13320" max="13320" width="8.88671875" style="23"/>
    <col min="13321" max="13321" width="12.109375" style="23" customWidth="1"/>
    <col min="13322" max="13564" width="8.88671875" style="23"/>
    <col min="13565" max="13565" width="15.77734375" style="23" customWidth="1"/>
    <col min="13566" max="13566" width="12.77734375" style="23" customWidth="1"/>
    <col min="13567" max="13567" width="8.77734375" style="23" customWidth="1"/>
    <col min="13568" max="13568" width="13.77734375" style="23" customWidth="1"/>
    <col min="13569" max="13569" width="8.77734375" style="23" customWidth="1"/>
    <col min="13570" max="13570" width="12.77734375" style="23" customWidth="1"/>
    <col min="13571" max="13571" width="10.77734375" style="23" customWidth="1"/>
    <col min="13572" max="13572" width="8.77734375" style="23" customWidth="1"/>
    <col min="13573" max="13573" width="8.88671875" style="23"/>
    <col min="13574" max="13574" width="12.44140625" style="23" customWidth="1"/>
    <col min="13575" max="13575" width="12.33203125" style="23" customWidth="1"/>
    <col min="13576" max="13576" width="8.88671875" style="23"/>
    <col min="13577" max="13577" width="12.109375" style="23" customWidth="1"/>
    <col min="13578" max="13820" width="8.88671875" style="23"/>
    <col min="13821" max="13821" width="15.77734375" style="23" customWidth="1"/>
    <col min="13822" max="13822" width="12.77734375" style="23" customWidth="1"/>
    <col min="13823" max="13823" width="8.77734375" style="23" customWidth="1"/>
    <col min="13824" max="13824" width="13.77734375" style="23" customWidth="1"/>
    <col min="13825" max="13825" width="8.77734375" style="23" customWidth="1"/>
    <col min="13826" max="13826" width="12.77734375" style="23" customWidth="1"/>
    <col min="13827" max="13827" width="10.77734375" style="23" customWidth="1"/>
    <col min="13828" max="13828" width="8.77734375" style="23" customWidth="1"/>
    <col min="13829" max="13829" width="8.88671875" style="23"/>
    <col min="13830" max="13830" width="12.44140625" style="23" customWidth="1"/>
    <col min="13831" max="13831" width="12.33203125" style="23" customWidth="1"/>
    <col min="13832" max="13832" width="8.88671875" style="23"/>
    <col min="13833" max="13833" width="12.109375" style="23" customWidth="1"/>
    <col min="13834" max="14076" width="8.88671875" style="23"/>
    <col min="14077" max="14077" width="15.77734375" style="23" customWidth="1"/>
    <col min="14078" max="14078" width="12.77734375" style="23" customWidth="1"/>
    <col min="14079" max="14079" width="8.77734375" style="23" customWidth="1"/>
    <col min="14080" max="14080" width="13.77734375" style="23" customWidth="1"/>
    <col min="14081" max="14081" width="8.77734375" style="23" customWidth="1"/>
    <col min="14082" max="14082" width="12.77734375" style="23" customWidth="1"/>
    <col min="14083" max="14083" width="10.77734375" style="23" customWidth="1"/>
    <col min="14084" max="14084" width="8.77734375" style="23" customWidth="1"/>
    <col min="14085" max="14085" width="8.88671875" style="23"/>
    <col min="14086" max="14086" width="12.44140625" style="23" customWidth="1"/>
    <col min="14087" max="14087" width="12.33203125" style="23" customWidth="1"/>
    <col min="14088" max="14088" width="8.88671875" style="23"/>
    <col min="14089" max="14089" width="12.109375" style="23" customWidth="1"/>
    <col min="14090" max="14332" width="8.88671875" style="23"/>
    <col min="14333" max="14333" width="15.77734375" style="23" customWidth="1"/>
    <col min="14334" max="14334" width="12.77734375" style="23" customWidth="1"/>
    <col min="14335" max="14335" width="8.77734375" style="23" customWidth="1"/>
    <col min="14336" max="14336" width="13.77734375" style="23" customWidth="1"/>
    <col min="14337" max="14337" width="8.77734375" style="23" customWidth="1"/>
    <col min="14338" max="14338" width="12.77734375" style="23" customWidth="1"/>
    <col min="14339" max="14339" width="10.77734375" style="23" customWidth="1"/>
    <col min="14340" max="14340" width="8.77734375" style="23" customWidth="1"/>
    <col min="14341" max="14341" width="8.88671875" style="23"/>
    <col min="14342" max="14342" width="12.44140625" style="23" customWidth="1"/>
    <col min="14343" max="14343" width="12.33203125" style="23" customWidth="1"/>
    <col min="14344" max="14344" width="8.88671875" style="23"/>
    <col min="14345" max="14345" width="12.109375" style="23" customWidth="1"/>
    <col min="14346" max="14588" width="8.88671875" style="23"/>
    <col min="14589" max="14589" width="15.77734375" style="23" customWidth="1"/>
    <col min="14590" max="14590" width="12.77734375" style="23" customWidth="1"/>
    <col min="14591" max="14591" width="8.77734375" style="23" customWidth="1"/>
    <col min="14592" max="14592" width="13.77734375" style="23" customWidth="1"/>
    <col min="14593" max="14593" width="8.77734375" style="23" customWidth="1"/>
    <col min="14594" max="14594" width="12.77734375" style="23" customWidth="1"/>
    <col min="14595" max="14595" width="10.77734375" style="23" customWidth="1"/>
    <col min="14596" max="14596" width="8.77734375" style="23" customWidth="1"/>
    <col min="14597" max="14597" width="8.88671875" style="23"/>
    <col min="14598" max="14598" width="12.44140625" style="23" customWidth="1"/>
    <col min="14599" max="14599" width="12.33203125" style="23" customWidth="1"/>
    <col min="14600" max="14600" width="8.88671875" style="23"/>
    <col min="14601" max="14601" width="12.109375" style="23" customWidth="1"/>
    <col min="14602" max="14844" width="8.88671875" style="23"/>
    <col min="14845" max="14845" width="15.77734375" style="23" customWidth="1"/>
    <col min="14846" max="14846" width="12.77734375" style="23" customWidth="1"/>
    <col min="14847" max="14847" width="8.77734375" style="23" customWidth="1"/>
    <col min="14848" max="14848" width="13.77734375" style="23" customWidth="1"/>
    <col min="14849" max="14849" width="8.77734375" style="23" customWidth="1"/>
    <col min="14850" max="14850" width="12.77734375" style="23" customWidth="1"/>
    <col min="14851" max="14851" width="10.77734375" style="23" customWidth="1"/>
    <col min="14852" max="14852" width="8.77734375" style="23" customWidth="1"/>
    <col min="14853" max="14853" width="8.88671875" style="23"/>
    <col min="14854" max="14854" width="12.44140625" style="23" customWidth="1"/>
    <col min="14855" max="14855" width="12.33203125" style="23" customWidth="1"/>
    <col min="14856" max="14856" width="8.88671875" style="23"/>
    <col min="14857" max="14857" width="12.109375" style="23" customWidth="1"/>
    <col min="14858" max="15100" width="8.88671875" style="23"/>
    <col min="15101" max="15101" width="15.77734375" style="23" customWidth="1"/>
    <col min="15102" max="15102" width="12.77734375" style="23" customWidth="1"/>
    <col min="15103" max="15103" width="8.77734375" style="23" customWidth="1"/>
    <col min="15104" max="15104" width="13.77734375" style="23" customWidth="1"/>
    <col min="15105" max="15105" width="8.77734375" style="23" customWidth="1"/>
    <col min="15106" max="15106" width="12.77734375" style="23" customWidth="1"/>
    <col min="15107" max="15107" width="10.77734375" style="23" customWidth="1"/>
    <col min="15108" max="15108" width="8.77734375" style="23" customWidth="1"/>
    <col min="15109" max="15109" width="8.88671875" style="23"/>
    <col min="15110" max="15110" width="12.44140625" style="23" customWidth="1"/>
    <col min="15111" max="15111" width="12.33203125" style="23" customWidth="1"/>
    <col min="15112" max="15112" width="8.88671875" style="23"/>
    <col min="15113" max="15113" width="12.109375" style="23" customWidth="1"/>
    <col min="15114" max="15356" width="8.88671875" style="23"/>
    <col min="15357" max="15357" width="15.77734375" style="23" customWidth="1"/>
    <col min="15358" max="15358" width="12.77734375" style="23" customWidth="1"/>
    <col min="15359" max="15359" width="8.77734375" style="23" customWidth="1"/>
    <col min="15360" max="15360" width="13.77734375" style="23" customWidth="1"/>
    <col min="15361" max="15361" width="8.77734375" style="23" customWidth="1"/>
    <col min="15362" max="15362" width="12.77734375" style="23" customWidth="1"/>
    <col min="15363" max="15363" width="10.77734375" style="23" customWidth="1"/>
    <col min="15364" max="15364" width="8.77734375" style="23" customWidth="1"/>
    <col min="15365" max="15365" width="8.88671875" style="23"/>
    <col min="15366" max="15366" width="12.44140625" style="23" customWidth="1"/>
    <col min="15367" max="15367" width="12.33203125" style="23" customWidth="1"/>
    <col min="15368" max="15368" width="8.88671875" style="23"/>
    <col min="15369" max="15369" width="12.109375" style="23" customWidth="1"/>
    <col min="15370" max="15612" width="8.88671875" style="23"/>
    <col min="15613" max="15613" width="15.77734375" style="23" customWidth="1"/>
    <col min="15614" max="15614" width="12.77734375" style="23" customWidth="1"/>
    <col min="15615" max="15615" width="8.77734375" style="23" customWidth="1"/>
    <col min="15616" max="15616" width="13.77734375" style="23" customWidth="1"/>
    <col min="15617" max="15617" width="8.77734375" style="23" customWidth="1"/>
    <col min="15618" max="15618" width="12.77734375" style="23" customWidth="1"/>
    <col min="15619" max="15619" width="10.77734375" style="23" customWidth="1"/>
    <col min="15620" max="15620" width="8.77734375" style="23" customWidth="1"/>
    <col min="15621" max="15621" width="8.88671875" style="23"/>
    <col min="15622" max="15622" width="12.44140625" style="23" customWidth="1"/>
    <col min="15623" max="15623" width="12.33203125" style="23" customWidth="1"/>
    <col min="15624" max="15624" width="8.88671875" style="23"/>
    <col min="15625" max="15625" width="12.109375" style="23" customWidth="1"/>
    <col min="15626" max="15868" width="8.88671875" style="23"/>
    <col min="15869" max="15869" width="15.77734375" style="23" customWidth="1"/>
    <col min="15870" max="15870" width="12.77734375" style="23" customWidth="1"/>
    <col min="15871" max="15871" width="8.77734375" style="23" customWidth="1"/>
    <col min="15872" max="15872" width="13.77734375" style="23" customWidth="1"/>
    <col min="15873" max="15873" width="8.77734375" style="23" customWidth="1"/>
    <col min="15874" max="15874" width="12.77734375" style="23" customWidth="1"/>
    <col min="15875" max="15875" width="10.77734375" style="23" customWidth="1"/>
    <col min="15876" max="15876" width="8.77734375" style="23" customWidth="1"/>
    <col min="15877" max="15877" width="8.88671875" style="23"/>
    <col min="15878" max="15878" width="12.44140625" style="23" customWidth="1"/>
    <col min="15879" max="15879" width="12.33203125" style="23" customWidth="1"/>
    <col min="15880" max="15880" width="8.88671875" style="23"/>
    <col min="15881" max="15881" width="12.109375" style="23" customWidth="1"/>
    <col min="15882" max="16124" width="8.88671875" style="23"/>
    <col min="16125" max="16125" width="15.77734375" style="23" customWidth="1"/>
    <col min="16126" max="16126" width="12.77734375" style="23" customWidth="1"/>
    <col min="16127" max="16127" width="8.77734375" style="23" customWidth="1"/>
    <col min="16128" max="16128" width="13.77734375" style="23" customWidth="1"/>
    <col min="16129" max="16129" width="8.77734375" style="23" customWidth="1"/>
    <col min="16130" max="16130" width="12.77734375" style="23" customWidth="1"/>
    <col min="16131" max="16131" width="10.77734375" style="23" customWidth="1"/>
    <col min="16132" max="16132" width="8.77734375" style="23" customWidth="1"/>
    <col min="16133" max="16133" width="8.88671875" style="23"/>
    <col min="16134" max="16134" width="12.44140625" style="23" customWidth="1"/>
    <col min="16135" max="16135" width="12.33203125" style="23" customWidth="1"/>
    <col min="16136" max="16136" width="8.88671875" style="23"/>
    <col min="16137" max="16137" width="12.109375" style="23" customWidth="1"/>
    <col min="16138" max="16384" width="8.88671875" style="23"/>
  </cols>
  <sheetData>
    <row r="1" spans="1:8" x14ac:dyDescent="0.2">
      <c r="A1" s="26"/>
      <c r="B1" s="26"/>
      <c r="C1" s="26"/>
      <c r="D1" s="26"/>
      <c r="E1" s="26"/>
      <c r="F1" s="26"/>
      <c r="G1" s="26"/>
      <c r="H1" s="53">
        <f>inputPrYr!C5</f>
        <v>2024</v>
      </c>
    </row>
    <row r="2" spans="1:8" x14ac:dyDescent="0.2">
      <c r="A2" s="597" t="s">
        <v>413</v>
      </c>
      <c r="B2" s="602"/>
      <c r="C2" s="602"/>
      <c r="D2" s="602"/>
      <c r="E2" s="602"/>
      <c r="F2" s="602"/>
      <c r="G2" s="602"/>
      <c r="H2" s="602"/>
    </row>
    <row r="3" spans="1:8" x14ac:dyDescent="0.2">
      <c r="A3" s="26"/>
      <c r="B3" s="26"/>
      <c r="C3" s="26"/>
      <c r="D3" s="26"/>
      <c r="E3" s="26"/>
      <c r="F3" s="26"/>
      <c r="G3" s="26"/>
      <c r="H3" s="26"/>
    </row>
    <row r="4" spans="1:8" x14ac:dyDescent="0.2">
      <c r="A4" s="585" t="s">
        <v>178</v>
      </c>
      <c r="B4" s="585"/>
      <c r="C4" s="585"/>
      <c r="D4" s="585"/>
      <c r="E4" s="585"/>
      <c r="F4" s="585"/>
      <c r="G4" s="585"/>
      <c r="H4" s="585"/>
    </row>
    <row r="5" spans="1:8" x14ac:dyDescent="0.2">
      <c r="A5" s="598" t="str">
        <f>inputPrYr!C3</f>
        <v>Doniphan County</v>
      </c>
      <c r="B5" s="704"/>
      <c r="C5" s="704"/>
      <c r="D5" s="704"/>
      <c r="E5" s="704"/>
      <c r="F5" s="704"/>
      <c r="G5" s="704"/>
      <c r="H5" s="704"/>
    </row>
    <row r="6" spans="1:8" x14ac:dyDescent="0.2">
      <c r="A6" s="585" t="str">
        <f>CONCATENATE("will meet on ",inputHearing!B42," at ",inputHearing!B44," at ",inputHearing!B46," for the purpose of hearing and")</f>
        <v>will meet on  at  at  for the purpose of hearing and</v>
      </c>
      <c r="B6" s="585"/>
      <c r="C6" s="585"/>
      <c r="D6" s="585"/>
      <c r="E6" s="585"/>
      <c r="F6" s="585"/>
      <c r="G6" s="585"/>
      <c r="H6" s="585"/>
    </row>
    <row r="7" spans="1:8" ht="14.25" customHeight="1" x14ac:dyDescent="0.2">
      <c r="A7" s="585" t="s">
        <v>414</v>
      </c>
      <c r="B7" s="585"/>
      <c r="C7" s="585"/>
      <c r="D7" s="585"/>
      <c r="E7" s="585"/>
      <c r="F7" s="585"/>
      <c r="G7" s="585"/>
      <c r="H7" s="585"/>
    </row>
    <row r="8" spans="1:8" ht="11.25" customHeight="1" x14ac:dyDescent="0.2">
      <c r="A8" s="26"/>
      <c r="B8" s="26"/>
      <c r="C8" s="26"/>
      <c r="D8" s="26"/>
      <c r="E8" s="26"/>
      <c r="F8" s="26"/>
      <c r="G8" s="26"/>
      <c r="H8" s="26"/>
    </row>
    <row r="9" spans="1:8" x14ac:dyDescent="0.2">
      <c r="A9" s="79"/>
      <c r="B9" s="705" t="s">
        <v>415</v>
      </c>
      <c r="C9" s="705"/>
      <c r="D9" s="436">
        <f>'Budget Hearing Notice'!H62</f>
        <v>36.917000000000002</v>
      </c>
      <c r="E9" s="705" t="s">
        <v>416</v>
      </c>
      <c r="F9" s="705"/>
      <c r="G9" s="437">
        <f>'Budget Hearing Notice'!H61</f>
        <v>36.917000000000002</v>
      </c>
      <c r="H9" s="30"/>
    </row>
    <row r="10" spans="1:8" x14ac:dyDescent="0.2">
      <c r="A10" s="26"/>
      <c r="B10" s="147"/>
      <c r="C10" s="147"/>
      <c r="D10" s="147"/>
      <c r="E10" s="147"/>
      <c r="F10" s="147"/>
      <c r="G10" s="147"/>
      <c r="H10" s="147"/>
    </row>
    <row r="11" spans="1:8" x14ac:dyDescent="0.2">
      <c r="A11" s="26"/>
      <c r="B11" s="703" t="s">
        <v>417</v>
      </c>
      <c r="C11" s="703"/>
      <c r="D11" s="703"/>
      <c r="E11" s="703"/>
      <c r="F11" s="703"/>
      <c r="G11" s="26"/>
      <c r="H11" s="53"/>
    </row>
    <row r="12" spans="1:8" x14ac:dyDescent="0.2">
      <c r="A12" s="26"/>
      <c r="B12" s="703" t="s">
        <v>418</v>
      </c>
      <c r="C12" s="703"/>
      <c r="D12" s="703"/>
      <c r="E12" s="703"/>
      <c r="F12" s="703"/>
      <c r="G12" s="26"/>
      <c r="H12" s="53"/>
    </row>
    <row r="13" spans="1:8" x14ac:dyDescent="0.2">
      <c r="A13" s="26"/>
      <c r="B13" s="438"/>
      <c r="C13" s="438"/>
      <c r="D13" s="438"/>
      <c r="E13" s="438"/>
      <c r="F13" s="438"/>
      <c r="G13" s="26"/>
      <c r="H13" s="53"/>
    </row>
    <row r="14" spans="1:8" x14ac:dyDescent="0.2">
      <c r="A14" s="26"/>
      <c r="B14" s="438"/>
      <c r="C14" s="438"/>
      <c r="D14" s="125" t="s">
        <v>90</v>
      </c>
      <c r="E14" s="362">
        <v>23</v>
      </c>
      <c r="F14" s="438"/>
      <c r="G14" s="26"/>
      <c r="H14" s="53"/>
    </row>
    <row r="16" spans="1:8" x14ac:dyDescent="0.2">
      <c r="A16" s="56"/>
      <c r="B16" s="56"/>
      <c r="C16" s="56"/>
      <c r="D16" s="56"/>
      <c r="E16" s="56"/>
      <c r="F16" s="56"/>
      <c r="G16" s="56"/>
      <c r="H16" s="56"/>
    </row>
    <row r="18" spans="1:8" x14ac:dyDescent="0.2">
      <c r="A18" s="56"/>
      <c r="B18" s="56"/>
      <c r="C18" s="56"/>
      <c r="D18" s="56"/>
      <c r="E18" s="56"/>
      <c r="F18" s="56"/>
      <c r="G18" s="56"/>
      <c r="H18" s="56"/>
    </row>
    <row r="19" spans="1:8" x14ac:dyDescent="0.2">
      <c r="A19" s="56"/>
      <c r="B19" s="56"/>
      <c r="C19" s="56"/>
      <c r="D19" s="56"/>
      <c r="E19" s="56"/>
      <c r="F19" s="56"/>
      <c r="G19" s="56"/>
      <c r="H19" s="56"/>
    </row>
    <row r="20" spans="1:8" x14ac:dyDescent="0.2">
      <c r="A20" s="56"/>
      <c r="B20" s="56"/>
      <c r="C20" s="56"/>
      <c r="D20" s="56"/>
      <c r="E20" s="56"/>
      <c r="F20" s="56"/>
      <c r="G20" s="56"/>
      <c r="H20" s="56"/>
    </row>
    <row r="21" spans="1:8" x14ac:dyDescent="0.2">
      <c r="A21" s="56"/>
      <c r="B21" s="56"/>
      <c r="C21" s="56"/>
      <c r="D21" s="56"/>
      <c r="E21" s="56"/>
      <c r="F21" s="56"/>
      <c r="G21" s="56"/>
      <c r="H21" s="56"/>
    </row>
    <row r="22" spans="1:8" x14ac:dyDescent="0.2">
      <c r="A22" s="56"/>
      <c r="B22" s="56"/>
      <c r="C22" s="56"/>
      <c r="D22" s="56"/>
      <c r="E22" s="56"/>
      <c r="F22" s="56"/>
      <c r="G22" s="56"/>
      <c r="H22" s="56"/>
    </row>
    <row r="23" spans="1:8" x14ac:dyDescent="0.2">
      <c r="A23" s="56"/>
      <c r="B23" s="56"/>
      <c r="C23" s="56"/>
      <c r="D23" s="56"/>
      <c r="E23" s="56"/>
      <c r="F23" s="56"/>
      <c r="G23" s="56"/>
      <c r="H23" s="56"/>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34" ht="15" customHeight="1" x14ac:dyDescent="0.2"/>
  </sheetData>
  <sheetProtection sheet="1" objects="1" scenarios="1"/>
  <mergeCells count="9">
    <mergeCell ref="B11:F11"/>
    <mergeCell ref="B12:F12"/>
    <mergeCell ref="A2:H2"/>
    <mergeCell ref="A4:H4"/>
    <mergeCell ref="A5:H5"/>
    <mergeCell ref="A6:H6"/>
    <mergeCell ref="A7:H7"/>
    <mergeCell ref="B9:C9"/>
    <mergeCell ref="E9:F9"/>
  </mergeCells>
  <pageMargins left="1" right="1" top="0.5" bottom="0.5" header="0.5" footer="0.5"/>
  <pageSetup orientation="landscape" blackAndWhite="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2"/>
  <sheetViews>
    <sheetView topLeftCell="A7" workbookViewId="0">
      <selection activeCell="C11" sqref="C11"/>
    </sheetView>
  </sheetViews>
  <sheetFormatPr defaultRowHeight="15" x14ac:dyDescent="0.2"/>
  <cols>
    <col min="1" max="1" width="9.21875" style="75" customWidth="1"/>
    <col min="2" max="2" width="18.5546875" style="75" customWidth="1"/>
    <col min="3" max="3" width="11.77734375" style="75" customWidth="1"/>
    <col min="4" max="4" width="12.77734375" style="75" customWidth="1"/>
    <col min="5" max="5" width="11.77734375" style="75" customWidth="1"/>
    <col min="6" max="16384" width="8.88671875" style="75"/>
  </cols>
  <sheetData>
    <row r="1" spans="1:6" ht="15.75" x14ac:dyDescent="0.2">
      <c r="A1" s="57" t="str">
        <f>inputPrYr!C3</f>
        <v>Doniphan County</v>
      </c>
      <c r="B1" s="26"/>
      <c r="C1" s="26"/>
      <c r="D1" s="26"/>
      <c r="E1" s="26"/>
      <c r="F1" s="26">
        <f>inputPrYr!C5</f>
        <v>2024</v>
      </c>
    </row>
    <row r="2" spans="1:6" ht="15.75" x14ac:dyDescent="0.2">
      <c r="A2" s="26"/>
      <c r="B2" s="585"/>
      <c r="C2" s="585"/>
      <c r="D2" s="585"/>
      <c r="E2" s="585"/>
      <c r="F2" s="26"/>
    </row>
    <row r="3" spans="1:6" ht="15.75" x14ac:dyDescent="0.2">
      <c r="A3" s="26"/>
      <c r="B3" s="604" t="str">
        <f>CONCATENATE("",F1," Neighborhood Revitalization Rebate")</f>
        <v>2024 Neighborhood Revitalization Rebate</v>
      </c>
      <c r="C3" s="604"/>
      <c r="D3" s="604"/>
      <c r="E3" s="604"/>
      <c r="F3" s="26"/>
    </row>
    <row r="4" spans="1:6" ht="15.75" x14ac:dyDescent="0.2">
      <c r="A4" s="26"/>
      <c r="B4" s="26"/>
      <c r="C4" s="26"/>
      <c r="D4" s="26"/>
      <c r="E4" s="26"/>
      <c r="F4" s="26"/>
    </row>
    <row r="5" spans="1:6" ht="51" customHeight="1" x14ac:dyDescent="0.2">
      <c r="A5" s="26"/>
      <c r="B5" s="204" t="str">
        <f>CONCATENATE("Budgeted Funds                       for ",F1,"")</f>
        <v>Budgeted Funds                       for 2024</v>
      </c>
      <c r="C5" s="204" t="str">
        <f>CONCATENATE("",F1-1," Ad Valorem before Rebate**")</f>
        <v>2023 Ad Valorem before Rebate**</v>
      </c>
      <c r="D5" s="205" t="str">
        <f>CONCATENATE("",F1-1," Mil Rate before Rebate")</f>
        <v>2023 Mil Rate before Rebate</v>
      </c>
      <c r="E5" s="206" t="str">
        <f>CONCATENATE("Estimate ",F1," NR Rebate")</f>
        <v>Estimate 2024 NR Rebate</v>
      </c>
      <c r="F5" s="53"/>
    </row>
    <row r="6" spans="1:6" ht="15.75" x14ac:dyDescent="0.2">
      <c r="A6" s="26"/>
      <c r="B6" s="34" t="str">
        <f>inputPrYr!B17</f>
        <v>General</v>
      </c>
      <c r="C6" s="207">
        <v>2203073</v>
      </c>
      <c r="D6" s="208">
        <f>IF(C6&gt;0,C6/$D$36,"")</f>
        <v>13.900810435193893</v>
      </c>
      <c r="E6" s="119">
        <f t="shared" ref="E6:E30" si="0">IF(C6&gt;0,ROUND(D6*$D$40,0),0)</f>
        <v>60291</v>
      </c>
      <c r="F6" s="53"/>
    </row>
    <row r="7" spans="1:6" ht="15.75" x14ac:dyDescent="0.2">
      <c r="A7" s="26"/>
      <c r="B7" s="34" t="str">
        <f>inputPrYr!B18</f>
        <v>Debt Service</v>
      </c>
      <c r="C7" s="207"/>
      <c r="D7" s="208" t="str">
        <f t="shared" ref="D7:D30" si="1">IF(C7&gt;0,C7/$D$36,"")</f>
        <v/>
      </c>
      <c r="E7" s="119">
        <f t="shared" si="0"/>
        <v>0</v>
      </c>
      <c r="F7" s="53"/>
    </row>
    <row r="8" spans="1:6" ht="15.75" x14ac:dyDescent="0.2">
      <c r="A8" s="26"/>
      <c r="B8" s="34" t="str">
        <f>inputPrYr!B19</f>
        <v>Road &amp; Bridge</v>
      </c>
      <c r="C8" s="207">
        <v>2249882</v>
      </c>
      <c r="D8" s="208">
        <f t="shared" si="1"/>
        <v>14.196162897713743</v>
      </c>
      <c r="E8" s="119">
        <f t="shared" si="0"/>
        <v>61572</v>
      </c>
      <c r="F8" s="53"/>
    </row>
    <row r="9" spans="1:6" ht="15.75" x14ac:dyDescent="0.2">
      <c r="A9" s="26"/>
      <c r="B9" s="34" t="str">
        <f>inputPrYr!B20</f>
        <v>Fair</v>
      </c>
      <c r="C9" s="207">
        <v>18368</v>
      </c>
      <c r="D9" s="208">
        <f t="shared" si="1"/>
        <v>0.1158972426577065</v>
      </c>
      <c r="E9" s="119">
        <f t="shared" si="0"/>
        <v>503</v>
      </c>
      <c r="F9" s="53"/>
    </row>
    <row r="10" spans="1:6" ht="15.75" x14ac:dyDescent="0.2">
      <c r="A10" s="26"/>
      <c r="B10" s="34" t="str">
        <f>inputPrYr!B21</f>
        <v>Conservation</v>
      </c>
      <c r="C10" s="207">
        <v>33201</v>
      </c>
      <c r="D10" s="208">
        <f t="shared" si="1"/>
        <v>0.20948956628258458</v>
      </c>
      <c r="E10" s="119">
        <f t="shared" si="0"/>
        <v>909</v>
      </c>
      <c r="F10" s="53"/>
    </row>
    <row r="11" spans="1:6" ht="15.75" x14ac:dyDescent="0.2">
      <c r="A11" s="26"/>
      <c r="B11" s="34" t="str">
        <f>inputPrYr!B22</f>
        <v>Appraiser</v>
      </c>
      <c r="C11" s="207">
        <v>296285</v>
      </c>
      <c r="D11" s="208">
        <f t="shared" si="1"/>
        <v>1.8694803212564552</v>
      </c>
      <c r="E11" s="119">
        <f t="shared" si="0"/>
        <v>8108</v>
      </c>
      <c r="F11" s="53"/>
    </row>
    <row r="12" spans="1:6" ht="15.75" x14ac:dyDescent="0.2">
      <c r="A12" s="26"/>
      <c r="B12" s="34" t="str">
        <f>inputPrYr!B23</f>
        <v>Noxious Weed</v>
      </c>
      <c r="C12" s="209">
        <v>82249</v>
      </c>
      <c r="D12" s="208">
        <f t="shared" si="1"/>
        <v>0.51896952914599859</v>
      </c>
      <c r="E12" s="119">
        <f t="shared" si="0"/>
        <v>2251</v>
      </c>
      <c r="F12" s="53"/>
    </row>
    <row r="13" spans="1:6" ht="15.75" x14ac:dyDescent="0.2">
      <c r="A13" s="26"/>
      <c r="B13" s="34" t="str">
        <f>inputPrYr!B24</f>
        <v>Noxious Weed Chemical</v>
      </c>
      <c r="C13" s="209">
        <v>65401</v>
      </c>
      <c r="D13" s="208">
        <f t="shared" si="1"/>
        <v>0.41266308618557618</v>
      </c>
      <c r="E13" s="119">
        <f t="shared" si="0"/>
        <v>1790</v>
      </c>
      <c r="F13" s="53"/>
    </row>
    <row r="14" spans="1:6" ht="15.75" x14ac:dyDescent="0.2">
      <c r="A14" s="26"/>
      <c r="B14" s="34" t="str">
        <f>inputPrYr!B25</f>
        <v>Election</v>
      </c>
      <c r="C14" s="209">
        <v>23784</v>
      </c>
      <c r="D14" s="208">
        <f t="shared" si="1"/>
        <v>0.15007077631592397</v>
      </c>
      <c r="E14" s="119">
        <f t="shared" si="0"/>
        <v>651</v>
      </c>
      <c r="F14" s="53"/>
    </row>
    <row r="15" spans="1:6" ht="15.75" x14ac:dyDescent="0.2">
      <c r="A15" s="26"/>
      <c r="B15" s="34" t="str">
        <f>inputPrYr!B26</f>
        <v>Extension Council</v>
      </c>
      <c r="C15" s="209">
        <v>143751</v>
      </c>
      <c r="D15" s="208">
        <f t="shared" si="1"/>
        <v>0.9070309521607125</v>
      </c>
      <c r="E15" s="119">
        <f t="shared" si="0"/>
        <v>3934</v>
      </c>
      <c r="F15" s="53"/>
    </row>
    <row r="16" spans="1:6" ht="15.75" x14ac:dyDescent="0.2">
      <c r="A16" s="26"/>
      <c r="B16" s="34" t="str">
        <f>inputPrYr!B27</f>
        <v>Elderly</v>
      </c>
      <c r="C16" s="209">
        <v>240097</v>
      </c>
      <c r="D16" s="208">
        <f t="shared" si="1"/>
        <v>1.514948838762378</v>
      </c>
      <c r="E16" s="119">
        <f t="shared" si="0"/>
        <v>6571</v>
      </c>
      <c r="F16" s="53"/>
    </row>
    <row r="17" spans="1:6" ht="15.75" x14ac:dyDescent="0.2">
      <c r="A17" s="26"/>
      <c r="B17" s="34" t="str">
        <f>inputPrYr!B28</f>
        <v>Economic Development</v>
      </c>
      <c r="C17" s="209">
        <v>79239</v>
      </c>
      <c r="D17" s="208">
        <f t="shared" si="1"/>
        <v>0.49997722185071897</v>
      </c>
      <c r="E17" s="119">
        <f t="shared" si="0"/>
        <v>2169</v>
      </c>
      <c r="F17" s="53"/>
    </row>
    <row r="18" spans="1:6" ht="15.75" x14ac:dyDescent="0.2">
      <c r="A18" s="26"/>
      <c r="B18" s="34" t="str">
        <f>inputPrYr!B29</f>
        <v>Health</v>
      </c>
      <c r="C18" s="209">
        <v>141928</v>
      </c>
      <c r="D18" s="208">
        <f t="shared" si="1"/>
        <v>0.89552830226061453</v>
      </c>
      <c r="E18" s="119">
        <f t="shared" si="0"/>
        <v>3884</v>
      </c>
      <c r="F18" s="53"/>
    </row>
    <row r="19" spans="1:6" ht="15.75" x14ac:dyDescent="0.2">
      <c r="A19" s="26"/>
      <c r="B19" s="34" t="str">
        <f>inputPrYr!B30</f>
        <v>Mental Health Workshop</v>
      </c>
      <c r="C19" s="209">
        <v>32356</v>
      </c>
      <c r="D19" s="208">
        <f t="shared" si="1"/>
        <v>0.20415783881929178</v>
      </c>
      <c r="E19" s="119">
        <f t="shared" si="0"/>
        <v>885</v>
      </c>
      <c r="F19" s="53"/>
    </row>
    <row r="20" spans="1:6" ht="15.75" x14ac:dyDescent="0.2">
      <c r="A20" s="26"/>
      <c r="B20" s="34" t="str">
        <f>inputPrYr!B31</f>
        <v>Community Mental Health</v>
      </c>
      <c r="C20" s="209">
        <v>27751</v>
      </c>
      <c r="D20" s="208">
        <f t="shared" si="1"/>
        <v>0.17510150157850682</v>
      </c>
      <c r="E20" s="119">
        <f t="shared" si="0"/>
        <v>759</v>
      </c>
      <c r="F20" s="53"/>
    </row>
    <row r="21" spans="1:6" ht="15.75" x14ac:dyDescent="0.2">
      <c r="A21" s="26"/>
      <c r="B21" s="34" t="str">
        <f>inputPrYr!B32</f>
        <v>Employee Benefit</v>
      </c>
      <c r="C21" s="209">
        <v>223421</v>
      </c>
      <c r="D21" s="208">
        <f t="shared" si="1"/>
        <v>1.409727670504543</v>
      </c>
      <c r="E21" s="119">
        <f t="shared" si="0"/>
        <v>6114</v>
      </c>
      <c r="F21" s="53"/>
    </row>
    <row r="22" spans="1:6" ht="15.75" x14ac:dyDescent="0.2">
      <c r="A22" s="26"/>
      <c r="B22" s="34" t="str">
        <f>inputPrYr!B33</f>
        <v>Bond &amp; Interest</v>
      </c>
      <c r="C22" s="209"/>
      <c r="D22" s="208" t="str">
        <f t="shared" si="1"/>
        <v/>
      </c>
      <c r="E22" s="119">
        <f t="shared" si="0"/>
        <v>0</v>
      </c>
      <c r="F22" s="53"/>
    </row>
    <row r="23" spans="1:6" ht="15.75" x14ac:dyDescent="0.2">
      <c r="A23" s="26"/>
      <c r="B23" s="34" t="str">
        <f>inputPrYr!B36</f>
        <v>Capital Improvement</v>
      </c>
      <c r="C23" s="209"/>
      <c r="D23" s="208" t="str">
        <f t="shared" si="1"/>
        <v/>
      </c>
      <c r="E23" s="119">
        <f t="shared" si="0"/>
        <v>0</v>
      </c>
      <c r="F23" s="53"/>
    </row>
    <row r="24" spans="1:6" ht="15.75" x14ac:dyDescent="0.2">
      <c r="A24" s="26"/>
      <c r="B24" s="34" t="str">
        <f>inputPrYr!B37</f>
        <v>Diversion</v>
      </c>
      <c r="C24" s="209"/>
      <c r="D24" s="208" t="str">
        <f t="shared" si="1"/>
        <v/>
      </c>
      <c r="E24" s="119">
        <f t="shared" si="0"/>
        <v>0</v>
      </c>
      <c r="F24" s="53"/>
    </row>
    <row r="25" spans="1:6" ht="15.75" x14ac:dyDescent="0.2">
      <c r="A25" s="26"/>
      <c r="B25" s="34" t="str">
        <f>inputPrYr!B38</f>
        <v>Solid Waste</v>
      </c>
      <c r="C25" s="209"/>
      <c r="D25" s="208" t="str">
        <f t="shared" si="1"/>
        <v/>
      </c>
      <c r="E25" s="119">
        <f t="shared" si="0"/>
        <v>0</v>
      </c>
      <c r="F25" s="53"/>
    </row>
    <row r="26" spans="1:6" ht="15.75" x14ac:dyDescent="0.2">
      <c r="A26" s="26"/>
      <c r="B26" s="34" t="str">
        <f>inputPrYr!B39</f>
        <v>Central Kitchen</v>
      </c>
      <c r="C26" s="209"/>
      <c r="D26" s="208" t="str">
        <f t="shared" si="1"/>
        <v/>
      </c>
      <c r="E26" s="119">
        <f t="shared" si="0"/>
        <v>0</v>
      </c>
      <c r="F26" s="53"/>
    </row>
    <row r="27" spans="1:6" ht="15.75" x14ac:dyDescent="0.2">
      <c r="A27" s="26"/>
      <c r="B27" s="34" t="str">
        <f>inputPrYr!B40</f>
        <v>Title III</v>
      </c>
      <c r="C27" s="209"/>
      <c r="D27" s="208" t="str">
        <f t="shared" si="1"/>
        <v/>
      </c>
      <c r="E27" s="119">
        <f t="shared" si="0"/>
        <v>0</v>
      </c>
      <c r="F27" s="53"/>
    </row>
    <row r="28" spans="1:6" ht="15.75" x14ac:dyDescent="0.2">
      <c r="A28" s="26"/>
      <c r="B28" s="34" t="str">
        <f>inputPrYr!B41</f>
        <v>Local Alcoholic Liquor</v>
      </c>
      <c r="C28" s="209"/>
      <c r="D28" s="208" t="str">
        <f t="shared" si="1"/>
        <v/>
      </c>
      <c r="E28" s="119">
        <f t="shared" si="0"/>
        <v>0</v>
      </c>
      <c r="F28" s="53"/>
    </row>
    <row r="29" spans="1:6" ht="15.75" x14ac:dyDescent="0.2">
      <c r="A29" s="26"/>
      <c r="B29" s="34" t="str">
        <f>inputPrYr!B42</f>
        <v>New Sales Tax</v>
      </c>
      <c r="C29" s="209"/>
      <c r="D29" s="208" t="str">
        <f t="shared" si="1"/>
        <v/>
      </c>
      <c r="E29" s="119">
        <f t="shared" si="0"/>
        <v>0</v>
      </c>
      <c r="F29" s="53"/>
    </row>
    <row r="30" spans="1:6" ht="15.75" x14ac:dyDescent="0.2">
      <c r="A30" s="26"/>
      <c r="B30" s="34" t="e">
        <f>inputPrYr!#REF!</f>
        <v>#REF!</v>
      </c>
      <c r="C30" s="209"/>
      <c r="D30" s="208" t="str">
        <f t="shared" si="1"/>
        <v/>
      </c>
      <c r="E30" s="119">
        <f t="shared" si="0"/>
        <v>0</v>
      </c>
      <c r="F30" s="53"/>
    </row>
    <row r="31" spans="1:6" ht="16.5" thickBot="1" x14ac:dyDescent="0.25">
      <c r="A31" s="26"/>
      <c r="B31" s="38" t="s">
        <v>73</v>
      </c>
      <c r="C31" s="210">
        <f>SUM(C6:C30)</f>
        <v>5860786</v>
      </c>
      <c r="D31" s="211">
        <f>SUM(D6:D30)</f>
        <v>36.980016180688651</v>
      </c>
      <c r="E31" s="210">
        <f>SUM(E6:E30)</f>
        <v>160391</v>
      </c>
      <c r="F31" s="53"/>
    </row>
    <row r="32" spans="1:6" ht="16.5" thickTop="1" x14ac:dyDescent="0.2">
      <c r="A32" s="26"/>
      <c r="B32" s="26"/>
      <c r="C32" s="26"/>
      <c r="D32" s="26"/>
      <c r="E32" s="26"/>
      <c r="F32" s="53"/>
    </row>
    <row r="33" spans="1:6" ht="15.75" x14ac:dyDescent="0.2">
      <c r="A33" s="26"/>
      <c r="B33" s="26"/>
      <c r="C33" s="26"/>
      <c r="D33" s="26"/>
      <c r="E33" s="26"/>
      <c r="F33" s="53"/>
    </row>
    <row r="34" spans="1:6" ht="15.75" x14ac:dyDescent="0.2">
      <c r="A34" s="706" t="str">
        <f>CONCATENATE("",F1-1," July 1 Valuation:")</f>
        <v>2023 July 1 Valuation:</v>
      </c>
      <c r="B34" s="651"/>
      <c r="C34" s="706"/>
      <c r="D34" s="212">
        <f>inputOth!E6</f>
        <v>158485220</v>
      </c>
      <c r="E34" s="26"/>
      <c r="F34" s="53"/>
    </row>
    <row r="35" spans="1:6" ht="15.75" x14ac:dyDescent="0.2">
      <c r="A35" s="26"/>
      <c r="B35" s="26"/>
      <c r="C35" s="26"/>
      <c r="D35" s="26"/>
      <c r="E35" s="26"/>
      <c r="F35" s="53"/>
    </row>
    <row r="36" spans="1:6" ht="15.75" x14ac:dyDescent="0.2">
      <c r="A36" s="26"/>
      <c r="B36" s="706" t="s">
        <v>241</v>
      </c>
      <c r="C36" s="706"/>
      <c r="D36" s="213">
        <f>IF(D34&gt;0,(D34*0.001),"")</f>
        <v>158485.22</v>
      </c>
      <c r="E36" s="26"/>
      <c r="F36" s="53"/>
    </row>
    <row r="37" spans="1:6" ht="15.75" x14ac:dyDescent="0.2">
      <c r="A37" s="26"/>
      <c r="B37" s="125"/>
      <c r="C37" s="125"/>
      <c r="D37" s="214"/>
      <c r="E37" s="26"/>
      <c r="F37" s="53"/>
    </row>
    <row r="38" spans="1:6" ht="15.75" x14ac:dyDescent="0.2">
      <c r="A38" s="631" t="s">
        <v>242</v>
      </c>
      <c r="B38" s="602"/>
      <c r="C38" s="602"/>
      <c r="D38" s="212">
        <f>inputOth!E13</f>
        <v>4337254</v>
      </c>
      <c r="E38" s="66"/>
      <c r="F38" s="66"/>
    </row>
    <row r="39" spans="1:6" x14ac:dyDescent="0.2">
      <c r="A39" s="66"/>
      <c r="B39" s="66"/>
      <c r="C39" s="66"/>
      <c r="D39" s="215"/>
      <c r="E39" s="66"/>
      <c r="F39" s="66"/>
    </row>
    <row r="40" spans="1:6" ht="15.75" x14ac:dyDescent="0.2">
      <c r="A40" s="66"/>
      <c r="B40" s="631" t="s">
        <v>243</v>
      </c>
      <c r="C40" s="651"/>
      <c r="D40" s="213">
        <f>IF(D38&gt;0,(D38*0.001),"")</f>
        <v>4337.2539999999999</v>
      </c>
      <c r="E40" s="66"/>
      <c r="F40" s="66"/>
    </row>
    <row r="41" spans="1:6" x14ac:dyDescent="0.2">
      <c r="A41" s="66"/>
      <c r="B41" s="66"/>
      <c r="C41" s="66"/>
      <c r="D41" s="66"/>
      <c r="E41" s="66"/>
      <c r="F41" s="66"/>
    </row>
    <row r="42" spans="1:6" x14ac:dyDescent="0.2">
      <c r="A42" s="66"/>
      <c r="B42" s="66"/>
      <c r="C42" s="66"/>
      <c r="D42" s="66"/>
      <c r="E42" s="66"/>
      <c r="F42" s="66"/>
    </row>
    <row r="43" spans="1:6" ht="15.75" x14ac:dyDescent="0.25">
      <c r="A43" s="9" t="str">
        <f>CONCATENATE("**This information comes from the ",F1," Budget Summary page.  See instructions  step #12 for completing")</f>
        <v>**This information comes from the 2024 Budget Summary page.  See instructions  step #12 for completing</v>
      </c>
      <c r="B43" s="66"/>
      <c r="C43" s="66"/>
      <c r="D43" s="66"/>
      <c r="E43" s="66"/>
      <c r="F43" s="66"/>
    </row>
    <row r="44" spans="1:6" ht="15.75" x14ac:dyDescent="0.25">
      <c r="A44" s="9" t="s">
        <v>270</v>
      </c>
      <c r="B44" s="66"/>
      <c r="C44" s="66"/>
      <c r="D44" s="66"/>
      <c r="E44" s="66"/>
      <c r="F44" s="66"/>
    </row>
    <row r="45" spans="1:6" ht="15.75" x14ac:dyDescent="0.25">
      <c r="A45" s="9"/>
      <c r="B45" s="66"/>
      <c r="C45" s="66"/>
      <c r="D45" s="66"/>
      <c r="E45" s="66"/>
      <c r="F45" s="66"/>
    </row>
    <row r="46" spans="1:6" ht="15.75" x14ac:dyDescent="0.25">
      <c r="A46" s="9"/>
      <c r="B46" s="66"/>
      <c r="C46" s="66"/>
      <c r="D46" s="66"/>
      <c r="E46" s="66"/>
      <c r="F46" s="66"/>
    </row>
    <row r="47" spans="1:6" ht="15.75" x14ac:dyDescent="0.25">
      <c r="A47" s="9"/>
      <c r="B47" s="66"/>
      <c r="C47" s="66"/>
      <c r="D47" s="66"/>
      <c r="E47" s="66"/>
      <c r="F47" s="66"/>
    </row>
    <row r="48" spans="1:6" ht="15.75" x14ac:dyDescent="0.25">
      <c r="A48" s="9"/>
      <c r="B48" s="66"/>
      <c r="C48" s="66"/>
      <c r="D48" s="66"/>
      <c r="E48" s="66"/>
      <c r="F48" s="66"/>
    </row>
    <row r="49" spans="1:6" x14ac:dyDescent="0.2">
      <c r="A49" s="66"/>
      <c r="B49" s="66"/>
      <c r="C49" s="66"/>
      <c r="D49" s="66"/>
      <c r="E49" s="66"/>
      <c r="F49" s="66"/>
    </row>
    <row r="50" spans="1:6" x14ac:dyDescent="0.2">
      <c r="A50" s="66"/>
      <c r="B50" s="66"/>
      <c r="C50" s="66"/>
      <c r="D50" s="66"/>
      <c r="E50" s="66"/>
      <c r="F50" s="66"/>
    </row>
    <row r="51" spans="1:6" ht="15.75" x14ac:dyDescent="0.2">
      <c r="A51" s="66"/>
      <c r="B51" s="125" t="s">
        <v>133</v>
      </c>
      <c r="C51" s="362">
        <v>22</v>
      </c>
      <c r="D51" s="66"/>
      <c r="E51" s="66"/>
      <c r="F51" s="66"/>
    </row>
    <row r="52" spans="1:6" ht="15.75" x14ac:dyDescent="0.2">
      <c r="A52" s="53"/>
      <c r="B52" s="26"/>
      <c r="C52" s="26"/>
      <c r="D52" s="216"/>
      <c r="E52" s="53"/>
      <c r="F52" s="53"/>
    </row>
  </sheetData>
  <sheetProtection sheet="1" objects="1" scenarios="1"/>
  <mergeCells count="6">
    <mergeCell ref="B2:E2"/>
    <mergeCell ref="B40:C40"/>
    <mergeCell ref="B3:E3"/>
    <mergeCell ref="A34:C34"/>
    <mergeCell ref="B36:C36"/>
    <mergeCell ref="A38:C38"/>
  </mergeCells>
  <phoneticPr fontId="7" type="noConversion"/>
  <pageMargins left="0.75" right="0.75" top="1" bottom="1" header="0.5" footer="0.5"/>
  <pageSetup scale="77" orientation="portrait" blackAndWhite="1" r:id="rId1"/>
  <headerFooter alignWithMargins="0">
    <oddHeader>&amp;RState of Kansas
County</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H14"/>
  <sheetViews>
    <sheetView workbookViewId="0">
      <selection sqref="A1:H1"/>
    </sheetView>
  </sheetViews>
  <sheetFormatPr defaultRowHeight="15" x14ac:dyDescent="0.2"/>
  <sheetData>
    <row r="1" spans="1:8" ht="15.75" x14ac:dyDescent="0.25">
      <c r="A1" s="707" t="s">
        <v>394</v>
      </c>
      <c r="B1" s="707"/>
      <c r="C1" s="707"/>
      <c r="D1" s="707"/>
      <c r="E1" s="707"/>
      <c r="F1" s="707"/>
      <c r="G1" s="707"/>
      <c r="H1" s="707"/>
    </row>
    <row r="2" spans="1:8" ht="15.75" x14ac:dyDescent="0.25">
      <c r="A2" s="2"/>
      <c r="B2" s="2"/>
      <c r="C2" s="2"/>
      <c r="D2" s="2"/>
      <c r="E2" s="2"/>
      <c r="F2" s="2"/>
      <c r="G2" s="2"/>
      <c r="H2" s="2"/>
    </row>
    <row r="3" spans="1:8" ht="52.5" customHeight="1" x14ac:dyDescent="0.25">
      <c r="A3" s="708" t="s">
        <v>1064</v>
      </c>
      <c r="B3" s="708"/>
      <c r="C3" s="708"/>
      <c r="D3" s="708"/>
      <c r="E3" s="708"/>
      <c r="F3" s="708"/>
      <c r="G3" s="708"/>
      <c r="H3" s="708"/>
    </row>
    <row r="4" spans="1:8" ht="15.75" x14ac:dyDescent="0.25">
      <c r="A4" s="2"/>
      <c r="B4" s="2"/>
      <c r="C4" s="2"/>
      <c r="D4" s="2"/>
      <c r="E4" s="2"/>
      <c r="F4" s="2"/>
      <c r="G4" s="2"/>
      <c r="H4" s="2"/>
    </row>
    <row r="5" spans="1:8" ht="52.5" customHeight="1" x14ac:dyDescent="0.25">
      <c r="A5" s="434"/>
      <c r="B5" s="709" t="s">
        <v>395</v>
      </c>
      <c r="C5" s="709"/>
      <c r="D5" s="709"/>
      <c r="E5" s="709"/>
      <c r="F5" s="709"/>
      <c r="G5" s="709"/>
      <c r="H5" s="709"/>
    </row>
    <row r="6" spans="1:8" ht="15.75" x14ac:dyDescent="0.25">
      <c r="A6" s="2"/>
      <c r="B6" s="2"/>
      <c r="C6" s="2"/>
      <c r="D6" s="2"/>
      <c r="E6" s="2"/>
      <c r="F6" s="2"/>
      <c r="G6" s="2"/>
      <c r="H6" s="2"/>
    </row>
    <row r="7" spans="1:8" ht="32.25" customHeight="1" x14ac:dyDescent="0.25">
      <c r="A7" s="434"/>
      <c r="B7" s="709" t="s">
        <v>1065</v>
      </c>
      <c r="C7" s="709"/>
      <c r="D7" s="709"/>
      <c r="E7" s="709"/>
      <c r="F7" s="709"/>
      <c r="G7" s="709"/>
      <c r="H7" s="709"/>
    </row>
    <row r="8" spans="1:8" ht="15.75" x14ac:dyDescent="0.25">
      <c r="A8" s="2"/>
      <c r="B8" s="2"/>
      <c r="C8" s="2"/>
      <c r="D8" s="2"/>
      <c r="E8" s="2"/>
      <c r="F8" s="2"/>
      <c r="G8" s="2"/>
      <c r="H8" s="2"/>
    </row>
    <row r="9" spans="1:8" ht="15.75" x14ac:dyDescent="0.25">
      <c r="A9" s="710" t="s">
        <v>396</v>
      </c>
      <c r="B9" s="710"/>
      <c r="C9" s="710"/>
      <c r="D9" s="710"/>
      <c r="E9" s="710"/>
      <c r="F9" s="710"/>
      <c r="G9" s="710"/>
      <c r="H9" s="710"/>
    </row>
    <row r="10" spans="1:8" ht="15.75" x14ac:dyDescent="0.25">
      <c r="A10" s="2"/>
      <c r="B10" s="2"/>
      <c r="C10" s="2"/>
      <c r="D10" s="2"/>
      <c r="E10" s="2"/>
      <c r="F10" s="2"/>
      <c r="G10" s="2"/>
      <c r="H10" s="2"/>
    </row>
    <row r="11" spans="1:8" ht="15.75" x14ac:dyDescent="0.25">
      <c r="A11" s="2"/>
      <c r="B11" s="2"/>
      <c r="C11" s="2"/>
      <c r="D11" s="2"/>
      <c r="E11" s="2"/>
      <c r="F11" s="2"/>
      <c r="G11" s="2"/>
      <c r="H11" s="2"/>
    </row>
    <row r="12" spans="1:8" ht="15.75" x14ac:dyDescent="0.25">
      <c r="A12" s="2"/>
      <c r="B12" s="2"/>
      <c r="C12" s="2"/>
      <c r="D12" s="2"/>
      <c r="E12" s="2"/>
      <c r="F12" s="2"/>
      <c r="G12" s="2"/>
      <c r="H12" s="2"/>
    </row>
    <row r="13" spans="1:8" ht="15.75" x14ac:dyDescent="0.25">
      <c r="A13" s="2" t="s">
        <v>397</v>
      </c>
      <c r="B13" s="2"/>
      <c r="C13" s="2"/>
      <c r="D13" s="2"/>
      <c r="E13" s="2"/>
      <c r="F13" s="434"/>
      <c r="G13" s="434"/>
      <c r="H13" s="434"/>
    </row>
    <row r="14" spans="1:8" ht="15.75" x14ac:dyDescent="0.25">
      <c r="A14" s="2"/>
      <c r="B14" s="2"/>
      <c r="C14" s="2"/>
      <c r="D14" s="2"/>
      <c r="E14" s="2"/>
      <c r="F14" s="2" t="s">
        <v>398</v>
      </c>
    </row>
  </sheetData>
  <sheetProtection selectLockedCells="1" selectUnlockedCells="1"/>
  <mergeCells count="5">
    <mergeCell ref="A1:H1"/>
    <mergeCell ref="A3:H3"/>
    <mergeCell ref="B5:H5"/>
    <mergeCell ref="B7:H7"/>
    <mergeCell ref="A9:H9"/>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6" sqref="A6"/>
    </sheetView>
  </sheetViews>
  <sheetFormatPr defaultRowHeight="15.75" x14ac:dyDescent="0.25"/>
  <cols>
    <col min="1" max="3" width="11.5546875" style="515" customWidth="1"/>
    <col min="4" max="4" width="12.109375" style="515" customWidth="1"/>
    <col min="5" max="7" width="8.6640625" style="515" customWidth="1"/>
    <col min="8" max="256" width="8.88671875" style="515"/>
    <col min="257" max="260" width="11.5546875" style="515" customWidth="1"/>
    <col min="261" max="263" width="10.5546875" style="515" customWidth="1"/>
    <col min="264" max="512" width="8.88671875" style="515"/>
    <col min="513" max="516" width="11.5546875" style="515" customWidth="1"/>
    <col min="517" max="519" width="10.5546875" style="515" customWidth="1"/>
    <col min="520" max="768" width="8.88671875" style="515"/>
    <col min="769" max="772" width="11.5546875" style="515" customWidth="1"/>
    <col min="773" max="775" width="10.5546875" style="515" customWidth="1"/>
    <col min="776" max="1024" width="8.88671875" style="515"/>
    <col min="1025" max="1028" width="11.5546875" style="515" customWidth="1"/>
    <col min="1029" max="1031" width="10.5546875" style="515" customWidth="1"/>
    <col min="1032" max="1280" width="8.88671875" style="515"/>
    <col min="1281" max="1284" width="11.5546875" style="515" customWidth="1"/>
    <col min="1285" max="1287" width="10.5546875" style="515" customWidth="1"/>
    <col min="1288" max="1536" width="8.88671875" style="515"/>
    <col min="1537" max="1540" width="11.5546875" style="515" customWidth="1"/>
    <col min="1541" max="1543" width="10.5546875" style="515" customWidth="1"/>
    <col min="1544" max="1792" width="8.88671875" style="515"/>
    <col min="1793" max="1796" width="11.5546875" style="515" customWidth="1"/>
    <col min="1797" max="1799" width="10.5546875" style="515" customWidth="1"/>
    <col min="1800" max="2048" width="8.88671875" style="515"/>
    <col min="2049" max="2052" width="11.5546875" style="515" customWidth="1"/>
    <col min="2053" max="2055" width="10.5546875" style="515" customWidth="1"/>
    <col min="2056" max="2304" width="8.88671875" style="515"/>
    <col min="2305" max="2308" width="11.5546875" style="515" customWidth="1"/>
    <col min="2309" max="2311" width="10.5546875" style="515" customWidth="1"/>
    <col min="2312" max="2560" width="8.88671875" style="515"/>
    <col min="2561" max="2564" width="11.5546875" style="515" customWidth="1"/>
    <col min="2565" max="2567" width="10.5546875" style="515" customWidth="1"/>
    <col min="2568" max="2816" width="8.88671875" style="515"/>
    <col min="2817" max="2820" width="11.5546875" style="515" customWidth="1"/>
    <col min="2821" max="2823" width="10.5546875" style="515" customWidth="1"/>
    <col min="2824" max="3072" width="8.88671875" style="515"/>
    <col min="3073" max="3076" width="11.5546875" style="515" customWidth="1"/>
    <col min="3077" max="3079" width="10.5546875" style="515" customWidth="1"/>
    <col min="3080" max="3328" width="8.88671875" style="515"/>
    <col min="3329" max="3332" width="11.5546875" style="515" customWidth="1"/>
    <col min="3333" max="3335" width="10.5546875" style="515" customWidth="1"/>
    <col min="3336" max="3584" width="8.88671875" style="515"/>
    <col min="3585" max="3588" width="11.5546875" style="515" customWidth="1"/>
    <col min="3589" max="3591" width="10.5546875" style="515" customWidth="1"/>
    <col min="3592" max="3840" width="8.88671875" style="515"/>
    <col min="3841" max="3844" width="11.5546875" style="515" customWidth="1"/>
    <col min="3845" max="3847" width="10.5546875" style="515" customWidth="1"/>
    <col min="3848" max="4096" width="8.88671875" style="515"/>
    <col min="4097" max="4100" width="11.5546875" style="515" customWidth="1"/>
    <col min="4101" max="4103" width="10.5546875" style="515" customWidth="1"/>
    <col min="4104" max="4352" width="8.88671875" style="515"/>
    <col min="4353" max="4356" width="11.5546875" style="515" customWidth="1"/>
    <col min="4357" max="4359" width="10.5546875" style="515" customWidth="1"/>
    <col min="4360" max="4608" width="8.88671875" style="515"/>
    <col min="4609" max="4612" width="11.5546875" style="515" customWidth="1"/>
    <col min="4613" max="4615" width="10.5546875" style="515" customWidth="1"/>
    <col min="4616" max="4864" width="8.88671875" style="515"/>
    <col min="4865" max="4868" width="11.5546875" style="515" customWidth="1"/>
    <col min="4869" max="4871" width="10.5546875" style="515" customWidth="1"/>
    <col min="4872" max="5120" width="8.88671875" style="515"/>
    <col min="5121" max="5124" width="11.5546875" style="515" customWidth="1"/>
    <col min="5125" max="5127" width="10.5546875" style="515" customWidth="1"/>
    <col min="5128" max="5376" width="8.88671875" style="515"/>
    <col min="5377" max="5380" width="11.5546875" style="515" customWidth="1"/>
    <col min="5381" max="5383" width="10.5546875" style="515" customWidth="1"/>
    <col min="5384" max="5632" width="8.88671875" style="515"/>
    <col min="5633" max="5636" width="11.5546875" style="515" customWidth="1"/>
    <col min="5637" max="5639" width="10.5546875" style="515" customWidth="1"/>
    <col min="5640" max="5888" width="8.88671875" style="515"/>
    <col min="5889" max="5892" width="11.5546875" style="515" customWidth="1"/>
    <col min="5893" max="5895" width="10.5546875" style="515" customWidth="1"/>
    <col min="5896" max="6144" width="8.88671875" style="515"/>
    <col min="6145" max="6148" width="11.5546875" style="515" customWidth="1"/>
    <col min="6149" max="6151" width="10.5546875" style="515" customWidth="1"/>
    <col min="6152" max="6400" width="8.88671875" style="515"/>
    <col min="6401" max="6404" width="11.5546875" style="515" customWidth="1"/>
    <col min="6405" max="6407" width="10.5546875" style="515" customWidth="1"/>
    <col min="6408" max="6656" width="8.88671875" style="515"/>
    <col min="6657" max="6660" width="11.5546875" style="515" customWidth="1"/>
    <col min="6661" max="6663" width="10.5546875" style="515" customWidth="1"/>
    <col min="6664" max="6912" width="8.88671875" style="515"/>
    <col min="6913" max="6916" width="11.5546875" style="515" customWidth="1"/>
    <col min="6917" max="6919" width="10.5546875" style="515" customWidth="1"/>
    <col min="6920" max="7168" width="8.88671875" style="515"/>
    <col min="7169" max="7172" width="11.5546875" style="515" customWidth="1"/>
    <col min="7173" max="7175" width="10.5546875" style="515" customWidth="1"/>
    <col min="7176" max="7424" width="8.88671875" style="515"/>
    <col min="7425" max="7428" width="11.5546875" style="515" customWidth="1"/>
    <col min="7429" max="7431" width="10.5546875" style="515" customWidth="1"/>
    <col min="7432" max="7680" width="8.88671875" style="515"/>
    <col min="7681" max="7684" width="11.5546875" style="515" customWidth="1"/>
    <col min="7685" max="7687" width="10.5546875" style="515" customWidth="1"/>
    <col min="7688" max="7936" width="8.88671875" style="515"/>
    <col min="7937" max="7940" width="11.5546875" style="515" customWidth="1"/>
    <col min="7941" max="7943" width="10.5546875" style="515" customWidth="1"/>
    <col min="7944" max="8192" width="8.88671875" style="515"/>
    <col min="8193" max="8196" width="11.5546875" style="515" customWidth="1"/>
    <col min="8197" max="8199" width="10.5546875" style="515" customWidth="1"/>
    <col min="8200" max="8448" width="8.88671875" style="515"/>
    <col min="8449" max="8452" width="11.5546875" style="515" customWidth="1"/>
    <col min="8453" max="8455" width="10.5546875" style="515" customWidth="1"/>
    <col min="8456" max="8704" width="8.88671875" style="515"/>
    <col min="8705" max="8708" width="11.5546875" style="515" customWidth="1"/>
    <col min="8709" max="8711" width="10.5546875" style="515" customWidth="1"/>
    <col min="8712" max="8960" width="8.88671875" style="515"/>
    <col min="8961" max="8964" width="11.5546875" style="515" customWidth="1"/>
    <col min="8965" max="8967" width="10.5546875" style="515" customWidth="1"/>
    <col min="8968" max="9216" width="8.88671875" style="515"/>
    <col min="9217" max="9220" width="11.5546875" style="515" customWidth="1"/>
    <col min="9221" max="9223" width="10.5546875" style="515" customWidth="1"/>
    <col min="9224" max="9472" width="8.88671875" style="515"/>
    <col min="9473" max="9476" width="11.5546875" style="515" customWidth="1"/>
    <col min="9477" max="9479" width="10.5546875" style="515" customWidth="1"/>
    <col min="9480" max="9728" width="8.88671875" style="515"/>
    <col min="9729" max="9732" width="11.5546875" style="515" customWidth="1"/>
    <col min="9733" max="9735" width="10.5546875" style="515" customWidth="1"/>
    <col min="9736" max="9984" width="8.88671875" style="515"/>
    <col min="9985" max="9988" width="11.5546875" style="515" customWidth="1"/>
    <col min="9989" max="9991" width="10.5546875" style="515" customWidth="1"/>
    <col min="9992" max="10240" width="8.88671875" style="515"/>
    <col min="10241" max="10244" width="11.5546875" style="515" customWidth="1"/>
    <col min="10245" max="10247" width="10.5546875" style="515" customWidth="1"/>
    <col min="10248" max="10496" width="8.88671875" style="515"/>
    <col min="10497" max="10500" width="11.5546875" style="515" customWidth="1"/>
    <col min="10501" max="10503" width="10.5546875" style="515" customWidth="1"/>
    <col min="10504" max="10752" width="8.88671875" style="515"/>
    <col min="10753" max="10756" width="11.5546875" style="515" customWidth="1"/>
    <col min="10757" max="10759" width="10.5546875" style="515" customWidth="1"/>
    <col min="10760" max="11008" width="8.88671875" style="515"/>
    <col min="11009" max="11012" width="11.5546875" style="515" customWidth="1"/>
    <col min="11013" max="11015" width="10.5546875" style="515" customWidth="1"/>
    <col min="11016" max="11264" width="8.88671875" style="515"/>
    <col min="11265" max="11268" width="11.5546875" style="515" customWidth="1"/>
    <col min="11269" max="11271" width="10.5546875" style="515" customWidth="1"/>
    <col min="11272" max="11520" width="8.88671875" style="515"/>
    <col min="11521" max="11524" width="11.5546875" style="515" customWidth="1"/>
    <col min="11525" max="11527" width="10.5546875" style="515" customWidth="1"/>
    <col min="11528" max="11776" width="8.88671875" style="515"/>
    <col min="11777" max="11780" width="11.5546875" style="515" customWidth="1"/>
    <col min="11781" max="11783" width="10.5546875" style="515" customWidth="1"/>
    <col min="11784" max="12032" width="8.88671875" style="515"/>
    <col min="12033" max="12036" width="11.5546875" style="515" customWidth="1"/>
    <col min="12037" max="12039" width="10.5546875" style="515" customWidth="1"/>
    <col min="12040" max="12288" width="8.88671875" style="515"/>
    <col min="12289" max="12292" width="11.5546875" style="515" customWidth="1"/>
    <col min="12293" max="12295" width="10.5546875" style="515" customWidth="1"/>
    <col min="12296" max="12544" width="8.88671875" style="515"/>
    <col min="12545" max="12548" width="11.5546875" style="515" customWidth="1"/>
    <col min="12549" max="12551" width="10.5546875" style="515" customWidth="1"/>
    <col min="12552" max="12800" width="8.88671875" style="515"/>
    <col min="12801" max="12804" width="11.5546875" style="515" customWidth="1"/>
    <col min="12805" max="12807" width="10.5546875" style="515" customWidth="1"/>
    <col min="12808" max="13056" width="8.88671875" style="515"/>
    <col min="13057" max="13060" width="11.5546875" style="515" customWidth="1"/>
    <col min="13061" max="13063" width="10.5546875" style="515" customWidth="1"/>
    <col min="13064" max="13312" width="8.88671875" style="515"/>
    <col min="13313" max="13316" width="11.5546875" style="515" customWidth="1"/>
    <col min="13317" max="13319" width="10.5546875" style="515" customWidth="1"/>
    <col min="13320" max="13568" width="8.88671875" style="515"/>
    <col min="13569" max="13572" width="11.5546875" style="515" customWidth="1"/>
    <col min="13573" max="13575" width="10.5546875" style="515" customWidth="1"/>
    <col min="13576" max="13824" width="8.88671875" style="515"/>
    <col min="13825" max="13828" width="11.5546875" style="515" customWidth="1"/>
    <col min="13829" max="13831" width="10.5546875" style="515" customWidth="1"/>
    <col min="13832" max="14080" width="8.88671875" style="515"/>
    <col min="14081" max="14084" width="11.5546875" style="515" customWidth="1"/>
    <col min="14085" max="14087" width="10.5546875" style="515" customWidth="1"/>
    <col min="14088" max="14336" width="8.88671875" style="515"/>
    <col min="14337" max="14340" width="11.5546875" style="515" customWidth="1"/>
    <col min="14341" max="14343" width="10.5546875" style="515" customWidth="1"/>
    <col min="14344" max="14592" width="8.88671875" style="515"/>
    <col min="14593" max="14596" width="11.5546875" style="515" customWidth="1"/>
    <col min="14597" max="14599" width="10.5546875" style="515" customWidth="1"/>
    <col min="14600" max="14848" width="8.88671875" style="515"/>
    <col min="14849" max="14852" width="11.5546875" style="515" customWidth="1"/>
    <col min="14853" max="14855" width="10.5546875" style="515" customWidth="1"/>
    <col min="14856" max="15104" width="8.88671875" style="515"/>
    <col min="15105" max="15108" width="11.5546875" style="515" customWidth="1"/>
    <col min="15109" max="15111" width="10.5546875" style="515" customWidth="1"/>
    <col min="15112" max="15360" width="8.88671875" style="515"/>
    <col min="15361" max="15364" width="11.5546875" style="515" customWidth="1"/>
    <col min="15365" max="15367" width="10.5546875" style="515" customWidth="1"/>
    <col min="15368" max="15616" width="8.88671875" style="515"/>
    <col min="15617" max="15620" width="11.5546875" style="515" customWidth="1"/>
    <col min="15621" max="15623" width="10.5546875" style="515" customWidth="1"/>
    <col min="15624" max="15872" width="8.88671875" style="515"/>
    <col min="15873" max="15876" width="11.5546875" style="515" customWidth="1"/>
    <col min="15877" max="15879" width="10.5546875" style="515" customWidth="1"/>
    <col min="15880" max="16128" width="8.88671875" style="515"/>
    <col min="16129" max="16132" width="11.5546875" style="515" customWidth="1"/>
    <col min="16133" max="16135" width="10.5546875" style="515" customWidth="1"/>
    <col min="16136" max="16384" width="8.88671875" style="515"/>
  </cols>
  <sheetData>
    <row r="1" spans="1:7" ht="18.75" x14ac:dyDescent="0.3">
      <c r="A1" s="714" t="s">
        <v>549</v>
      </c>
      <c r="B1" s="714"/>
      <c r="C1" s="714"/>
      <c r="D1" s="714"/>
      <c r="E1" s="714"/>
      <c r="F1" s="714"/>
      <c r="G1" s="714"/>
    </row>
    <row r="2" spans="1:7" x14ac:dyDescent="0.25">
      <c r="A2" s="516"/>
      <c r="B2" s="516"/>
      <c r="C2" s="516"/>
      <c r="D2" s="516"/>
      <c r="E2" s="516"/>
      <c r="F2" s="516"/>
      <c r="G2" s="516"/>
    </row>
    <row r="3" spans="1:7" ht="32.25" customHeight="1" x14ac:dyDescent="0.25">
      <c r="A3" s="715" t="s">
        <v>1060</v>
      </c>
      <c r="B3" s="715"/>
      <c r="C3" s="715"/>
      <c r="D3" s="715"/>
      <c r="E3" s="715"/>
      <c r="F3" s="715"/>
      <c r="G3" s="715"/>
    </row>
    <row r="4" spans="1:7" ht="8.25" customHeight="1" x14ac:dyDescent="0.25">
      <c r="A4" s="517"/>
      <c r="B4" s="517"/>
      <c r="C4" s="517"/>
      <c r="D4" s="517"/>
      <c r="E4" s="517"/>
      <c r="F4" s="517"/>
      <c r="G4" s="517"/>
    </row>
    <row r="5" spans="1:7" x14ac:dyDescent="0.25">
      <c r="A5" s="716" t="s">
        <v>1061</v>
      </c>
      <c r="B5" s="716"/>
      <c r="C5" s="716"/>
      <c r="D5" s="716"/>
      <c r="E5" s="716"/>
      <c r="F5" s="716"/>
      <c r="G5" s="716"/>
    </row>
    <row r="6" spans="1:7" ht="8.25" customHeight="1" x14ac:dyDescent="0.25">
      <c r="A6" s="518"/>
      <c r="B6" s="518"/>
      <c r="C6" s="518"/>
      <c r="D6" s="518"/>
      <c r="E6" s="518"/>
      <c r="F6" s="518"/>
      <c r="G6" s="518"/>
    </row>
    <row r="7" spans="1:7" x14ac:dyDescent="0.25">
      <c r="A7" s="716" t="s">
        <v>550</v>
      </c>
      <c r="B7" s="716"/>
      <c r="C7" s="716"/>
      <c r="D7" s="716"/>
      <c r="E7" s="716"/>
      <c r="F7" s="716"/>
      <c r="G7" s="716"/>
    </row>
    <row r="8" spans="1:7" x14ac:dyDescent="0.25">
      <c r="A8" s="518"/>
      <c r="B8" s="518"/>
      <c r="C8" s="518"/>
      <c r="D8" s="518"/>
      <c r="E8" s="518"/>
      <c r="F8" s="518"/>
      <c r="G8" s="518"/>
    </row>
    <row r="9" spans="1:7" ht="22.5" customHeight="1" x14ac:dyDescent="0.25">
      <c r="A9" s="717" t="s">
        <v>551</v>
      </c>
      <c r="B9" s="718"/>
      <c r="C9" s="718"/>
      <c r="D9" s="719"/>
      <c r="E9" s="519" t="s">
        <v>552</v>
      </c>
      <c r="F9" s="519" t="s">
        <v>553</v>
      </c>
      <c r="G9" s="519" t="s">
        <v>554</v>
      </c>
    </row>
    <row r="10" spans="1:7" ht="22.5" customHeight="1" x14ac:dyDescent="0.25">
      <c r="A10" s="711"/>
      <c r="B10" s="712"/>
      <c r="C10" s="712"/>
      <c r="D10" s="713"/>
      <c r="E10" s="520"/>
      <c r="F10" s="520"/>
      <c r="G10" s="520"/>
    </row>
    <row r="11" spans="1:7" ht="22.5" customHeight="1" x14ac:dyDescent="0.25">
      <c r="A11" s="711"/>
      <c r="B11" s="712"/>
      <c r="C11" s="712"/>
      <c r="D11" s="713"/>
      <c r="E11" s="520"/>
      <c r="F11" s="520"/>
      <c r="G11" s="520"/>
    </row>
    <row r="12" spans="1:7" ht="22.5" customHeight="1" x14ac:dyDescent="0.25">
      <c r="A12" s="720"/>
      <c r="B12" s="720"/>
      <c r="C12" s="720"/>
      <c r="D12" s="720"/>
      <c r="E12" s="520"/>
      <c r="F12" s="520"/>
      <c r="G12" s="520"/>
    </row>
    <row r="13" spans="1:7" ht="22.5" customHeight="1" x14ac:dyDescent="0.25">
      <c r="A13" s="720"/>
      <c r="B13" s="720"/>
      <c r="C13" s="720"/>
      <c r="D13" s="720"/>
      <c r="E13" s="520"/>
      <c r="F13" s="520"/>
      <c r="G13" s="520"/>
    </row>
    <row r="14" spans="1:7" ht="22.5" customHeight="1" x14ac:dyDescent="0.25">
      <c r="A14" s="720"/>
      <c r="B14" s="720"/>
      <c r="C14" s="720"/>
      <c r="D14" s="720"/>
      <c r="E14" s="520"/>
      <c r="F14" s="520"/>
      <c r="G14" s="520"/>
    </row>
    <row r="15" spans="1:7" ht="22.5" customHeight="1" x14ac:dyDescent="0.25">
      <c r="A15" s="720"/>
      <c r="B15" s="720"/>
      <c r="C15" s="720"/>
      <c r="D15" s="720"/>
      <c r="E15" s="520"/>
      <c r="F15" s="520"/>
      <c r="G15" s="520"/>
    </row>
    <row r="16" spans="1:7" ht="22.5" customHeight="1" x14ac:dyDescent="0.25">
      <c r="A16" s="720"/>
      <c r="B16" s="720"/>
      <c r="C16" s="720"/>
      <c r="D16" s="720"/>
      <c r="E16" s="520"/>
      <c r="F16" s="520"/>
      <c r="G16" s="520"/>
    </row>
    <row r="17" spans="1:7" ht="22.5" customHeight="1" x14ac:dyDescent="0.25">
      <c r="A17" s="720"/>
      <c r="B17" s="720"/>
      <c r="C17" s="720"/>
      <c r="D17" s="720"/>
      <c r="E17" s="520"/>
      <c r="F17" s="520"/>
      <c r="G17" s="520"/>
    </row>
    <row r="18" spans="1:7" ht="22.5" customHeight="1" thickBot="1" x14ac:dyDescent="0.3">
      <c r="A18" s="721"/>
      <c r="B18" s="721"/>
      <c r="C18" s="721"/>
      <c r="D18" s="721"/>
      <c r="E18" s="521"/>
      <c r="F18" s="521"/>
      <c r="G18" s="521"/>
    </row>
    <row r="19" spans="1:7" ht="22.5" customHeight="1" thickTop="1" x14ac:dyDescent="0.25">
      <c r="A19" s="722" t="s">
        <v>73</v>
      </c>
      <c r="B19" s="722"/>
      <c r="C19" s="722"/>
      <c r="D19" s="722"/>
      <c r="E19" s="522"/>
      <c r="F19" s="522"/>
      <c r="G19" s="522"/>
    </row>
    <row r="21" spans="1:7" x14ac:dyDescent="0.25">
      <c r="A21" s="523" t="s">
        <v>555</v>
      </c>
      <c r="B21" s="524"/>
    </row>
    <row r="22" spans="1:7" x14ac:dyDescent="0.25">
      <c r="A22" s="723"/>
      <c r="B22" s="723"/>
      <c r="C22" s="723"/>
    </row>
  </sheetData>
  <mergeCells count="16">
    <mergeCell ref="A17:D17"/>
    <mergeCell ref="A18:D18"/>
    <mergeCell ref="A19:D19"/>
    <mergeCell ref="A22:C22"/>
    <mergeCell ref="A11:D11"/>
    <mergeCell ref="A12:D12"/>
    <mergeCell ref="A13:D13"/>
    <mergeCell ref="A14:D14"/>
    <mergeCell ref="A15:D15"/>
    <mergeCell ref="A16:D16"/>
    <mergeCell ref="A10:D10"/>
    <mergeCell ref="A1:G1"/>
    <mergeCell ref="A3:G3"/>
    <mergeCell ref="A5:G5"/>
    <mergeCell ref="A7:G7"/>
    <mergeCell ref="A9:D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pageSetUpPr fitToPage="1"/>
  </sheetPr>
  <dimension ref="A1:B57"/>
  <sheetViews>
    <sheetView workbookViewId="0">
      <selection activeCell="B15" sqref="B15"/>
    </sheetView>
  </sheetViews>
  <sheetFormatPr defaultRowHeight="15" x14ac:dyDescent="0.2"/>
  <cols>
    <col min="1" max="1" width="75.6640625" customWidth="1"/>
  </cols>
  <sheetData>
    <row r="1" spans="1:2" ht="15.75" customHeight="1" x14ac:dyDescent="0.2">
      <c r="A1" s="582" t="s">
        <v>344</v>
      </c>
      <c r="B1" s="389"/>
    </row>
    <row r="2" spans="1:2" x14ac:dyDescent="0.2">
      <c r="A2" s="582"/>
    </row>
    <row r="3" spans="1:2" x14ac:dyDescent="0.2">
      <c r="A3" s="582"/>
    </row>
    <row r="4" spans="1:2" x14ac:dyDescent="0.2">
      <c r="A4" s="582"/>
    </row>
    <row r="5" spans="1:2" x14ac:dyDescent="0.2">
      <c r="A5" s="582"/>
    </row>
    <row r="6" spans="1:2" x14ac:dyDescent="0.2">
      <c r="A6" s="582"/>
    </row>
    <row r="7" spans="1:2" x14ac:dyDescent="0.2">
      <c r="A7" s="582"/>
    </row>
    <row r="8" spans="1:2" x14ac:dyDescent="0.2">
      <c r="A8" s="582"/>
    </row>
    <row r="9" spans="1:2" x14ac:dyDescent="0.2">
      <c r="A9" s="582"/>
    </row>
    <row r="10" spans="1:2" x14ac:dyDescent="0.2">
      <c r="A10" s="582"/>
    </row>
    <row r="11" spans="1:2" x14ac:dyDescent="0.2">
      <c r="A11" s="582"/>
    </row>
    <row r="12" spans="1:2" x14ac:dyDescent="0.2">
      <c r="A12" s="582"/>
    </row>
    <row r="13" spans="1:2" x14ac:dyDescent="0.2">
      <c r="A13" s="582"/>
    </row>
    <row r="14" spans="1:2" x14ac:dyDescent="0.2">
      <c r="A14" s="582"/>
    </row>
    <row r="15" spans="1:2" x14ac:dyDescent="0.2">
      <c r="A15" s="582"/>
    </row>
    <row r="16" spans="1:2" x14ac:dyDescent="0.2">
      <c r="A16" s="582"/>
    </row>
    <row r="17" spans="1:1" x14ac:dyDescent="0.2">
      <c r="A17" s="582"/>
    </row>
    <row r="18" spans="1:1" x14ac:dyDescent="0.2">
      <c r="A18" s="582"/>
    </row>
    <row r="19" spans="1:1" x14ac:dyDescent="0.2">
      <c r="A19" s="582"/>
    </row>
    <row r="20" spans="1:1" x14ac:dyDescent="0.2">
      <c r="A20" s="582"/>
    </row>
    <row r="21" spans="1:1" x14ac:dyDescent="0.2">
      <c r="A21" s="582"/>
    </row>
    <row r="22" spans="1:1" x14ac:dyDescent="0.2">
      <c r="A22" s="582"/>
    </row>
    <row r="23" spans="1:1" x14ac:dyDescent="0.2">
      <c r="A23" s="582"/>
    </row>
    <row r="24" spans="1:1" x14ac:dyDescent="0.2">
      <c r="A24" s="582"/>
    </row>
    <row r="25" spans="1:1" x14ac:dyDescent="0.2">
      <c r="A25" s="582"/>
    </row>
    <row r="26" spans="1:1" x14ac:dyDescent="0.2">
      <c r="A26" s="582"/>
    </row>
    <row r="27" spans="1:1" x14ac:dyDescent="0.2">
      <c r="A27" s="582"/>
    </row>
    <row r="28" spans="1:1" x14ac:dyDescent="0.2">
      <c r="A28" s="582"/>
    </row>
    <row r="29" spans="1:1" x14ac:dyDescent="0.2">
      <c r="A29" s="582"/>
    </row>
    <row r="30" spans="1:1" x14ac:dyDescent="0.2">
      <c r="A30" s="582"/>
    </row>
    <row r="31" spans="1:1" x14ac:dyDescent="0.2">
      <c r="A31" s="582"/>
    </row>
    <row r="32" spans="1:1" x14ac:dyDescent="0.2">
      <c r="A32" s="582"/>
    </row>
    <row r="33" spans="1:1" x14ac:dyDescent="0.2">
      <c r="A33" s="582"/>
    </row>
    <row r="34" spans="1:1" x14ac:dyDescent="0.2">
      <c r="A34" s="582"/>
    </row>
    <row r="35" spans="1:1" x14ac:dyDescent="0.2">
      <c r="A35" s="582"/>
    </row>
    <row r="36" spans="1:1" x14ac:dyDescent="0.2">
      <c r="A36" s="582"/>
    </row>
    <row r="37" spans="1:1" x14ac:dyDescent="0.2">
      <c r="A37" s="582"/>
    </row>
    <row r="38" spans="1:1" x14ac:dyDescent="0.2">
      <c r="A38" s="582"/>
    </row>
    <row r="39" spans="1:1" x14ac:dyDescent="0.2">
      <c r="A39" s="582"/>
    </row>
    <row r="40" spans="1:1" x14ac:dyDescent="0.2">
      <c r="A40" s="582"/>
    </row>
    <row r="41" spans="1:1" x14ac:dyDescent="0.2">
      <c r="A41" s="582"/>
    </row>
    <row r="42" spans="1:1" x14ac:dyDescent="0.2">
      <c r="A42" s="582"/>
    </row>
    <row r="43" spans="1:1" x14ac:dyDescent="0.2">
      <c r="A43" s="582"/>
    </row>
    <row r="44" spans="1:1" x14ac:dyDescent="0.2">
      <c r="A44" s="582"/>
    </row>
    <row r="45" spans="1:1" x14ac:dyDescent="0.2">
      <c r="A45" s="582"/>
    </row>
    <row r="46" spans="1:1" x14ac:dyDescent="0.2">
      <c r="A46" s="582"/>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sheetData>
  <sheetProtection sheet="1" objects="1" scenarios="1"/>
  <mergeCells count="1">
    <mergeCell ref="A1:A46"/>
  </mergeCells>
  <pageMargins left="0.7" right="0.7" top="0.75" bottom="0.75" header="0.3" footer="0.3"/>
  <pageSetup orientation="portrait" blackAndWhite="1"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19"/>
  <sheetViews>
    <sheetView workbookViewId="0">
      <selection activeCell="A15" sqref="A15:G15"/>
    </sheetView>
  </sheetViews>
  <sheetFormatPr defaultRowHeight="15.75" x14ac:dyDescent="0.25"/>
  <cols>
    <col min="1" max="1" width="8.88671875" style="2"/>
    <col min="4" max="4" width="18" customWidth="1"/>
    <col min="7" max="7" width="12.77734375" customWidth="1"/>
  </cols>
  <sheetData>
    <row r="1" spans="1:7" x14ac:dyDescent="0.25">
      <c r="A1" s="710" t="s">
        <v>399</v>
      </c>
      <c r="B1" s="710"/>
      <c r="C1" s="710"/>
      <c r="D1" s="710"/>
      <c r="E1" s="710"/>
      <c r="F1" s="710"/>
      <c r="G1" s="710"/>
    </row>
    <row r="3" spans="1:7" ht="55.5" customHeight="1" x14ac:dyDescent="0.25">
      <c r="A3" s="725" t="s">
        <v>400</v>
      </c>
      <c r="B3" s="725"/>
      <c r="C3" s="725"/>
      <c r="D3" s="725"/>
      <c r="E3" s="725"/>
      <c r="F3" s="725"/>
      <c r="G3" s="725"/>
    </row>
    <row r="4" spans="1:7" ht="55.5" customHeight="1" x14ac:dyDescent="0.25">
      <c r="A4" s="726" t="s">
        <v>401</v>
      </c>
      <c r="B4" s="726"/>
      <c r="C4" s="726"/>
      <c r="D4" s="726"/>
      <c r="E4" s="726"/>
      <c r="F4" s="726"/>
      <c r="G4" s="726"/>
    </row>
    <row r="5" spans="1:7" ht="55.5" customHeight="1" x14ac:dyDescent="0.25">
      <c r="A5" s="726" t="s">
        <v>402</v>
      </c>
      <c r="B5" s="726"/>
      <c r="C5" s="726"/>
      <c r="D5" s="726"/>
      <c r="E5" s="726"/>
      <c r="F5" s="726"/>
      <c r="G5" s="726"/>
    </row>
    <row r="6" spans="1:7" ht="55.5" customHeight="1" x14ac:dyDescent="0.25">
      <c r="A6" s="726" t="s">
        <v>403</v>
      </c>
      <c r="B6" s="726"/>
      <c r="C6" s="726"/>
      <c r="D6" s="726"/>
      <c r="E6" s="726"/>
      <c r="F6" s="726"/>
      <c r="G6" s="726"/>
    </row>
    <row r="7" spans="1:7" ht="55.5" customHeight="1" x14ac:dyDescent="0.25">
      <c r="A7" s="726" t="s">
        <v>404</v>
      </c>
      <c r="B7" s="726"/>
      <c r="C7" s="726"/>
      <c r="D7" s="726"/>
      <c r="E7" s="726"/>
      <c r="F7" s="726"/>
      <c r="G7" s="726"/>
    </row>
    <row r="8" spans="1:7" ht="55.5" customHeight="1" x14ac:dyDescent="0.25">
      <c r="A8" s="725" t="s">
        <v>405</v>
      </c>
      <c r="B8" s="725"/>
      <c r="C8" s="725"/>
      <c r="D8" s="725"/>
      <c r="E8" s="725"/>
      <c r="F8" s="725"/>
      <c r="G8" s="725"/>
    </row>
    <row r="9" spans="1:7" ht="55.5" customHeight="1" x14ac:dyDescent="0.25">
      <c r="A9" s="726" t="s">
        <v>406</v>
      </c>
      <c r="B9" s="726"/>
      <c r="C9" s="726"/>
      <c r="D9" s="726"/>
      <c r="E9" s="726"/>
      <c r="F9" s="726"/>
      <c r="G9" s="726"/>
    </row>
    <row r="10" spans="1:7" ht="55.5" customHeight="1" x14ac:dyDescent="0.25">
      <c r="A10" s="726" t="s">
        <v>407</v>
      </c>
      <c r="B10" s="726"/>
      <c r="C10" s="726"/>
      <c r="D10" s="726"/>
      <c r="E10" s="726"/>
      <c r="F10" s="726"/>
      <c r="G10" s="726"/>
    </row>
    <row r="11" spans="1:7" ht="39" customHeight="1" x14ac:dyDescent="0.25">
      <c r="A11" s="726" t="s">
        <v>408</v>
      </c>
      <c r="B11" s="726"/>
      <c r="C11" s="726"/>
      <c r="D11" s="726"/>
      <c r="E11" s="726"/>
      <c r="F11" s="726"/>
      <c r="G11" s="726"/>
    </row>
    <row r="12" spans="1:7" ht="18" customHeight="1" x14ac:dyDescent="0.25">
      <c r="A12" s="724" t="s">
        <v>409</v>
      </c>
      <c r="B12" s="724"/>
      <c r="C12" s="724"/>
      <c r="D12" s="724"/>
      <c r="E12" s="724"/>
      <c r="F12" s="724"/>
      <c r="G12" s="724"/>
    </row>
    <row r="13" spans="1:7" ht="18" customHeight="1" x14ac:dyDescent="0.25">
      <c r="A13" s="724" t="s">
        <v>409</v>
      </c>
      <c r="B13" s="724"/>
      <c r="C13" s="724"/>
      <c r="D13" s="724"/>
      <c r="E13" s="724"/>
      <c r="F13" s="724"/>
      <c r="G13" s="724"/>
    </row>
    <row r="14" spans="1:7" ht="18" customHeight="1" x14ac:dyDescent="0.25">
      <c r="A14" s="724" t="s">
        <v>409</v>
      </c>
      <c r="B14" s="724"/>
      <c r="C14" s="724"/>
      <c r="D14" s="724"/>
      <c r="E14" s="724"/>
      <c r="F14" s="724"/>
      <c r="G14" s="724"/>
    </row>
    <row r="15" spans="1:7" ht="18" customHeight="1" x14ac:dyDescent="0.25">
      <c r="A15" s="724" t="s">
        <v>409</v>
      </c>
      <c r="B15" s="724"/>
      <c r="C15" s="724"/>
      <c r="D15" s="724"/>
      <c r="E15" s="724"/>
      <c r="F15" s="724"/>
      <c r="G15" s="724"/>
    </row>
    <row r="16" spans="1:7" ht="18" customHeight="1" x14ac:dyDescent="0.25">
      <c r="A16" s="435"/>
      <c r="B16" s="435"/>
      <c r="C16" s="337"/>
      <c r="D16" s="337"/>
      <c r="E16" s="337"/>
      <c r="F16" s="435"/>
      <c r="G16" s="435"/>
    </row>
    <row r="17" spans="1:7" x14ac:dyDescent="0.25">
      <c r="A17" s="709" t="s">
        <v>410</v>
      </c>
      <c r="B17" s="709"/>
      <c r="C17" s="709"/>
      <c r="D17" s="709"/>
      <c r="E17" s="709"/>
      <c r="F17" s="709"/>
      <c r="G17" s="709"/>
    </row>
    <row r="18" spans="1:7" ht="18" customHeight="1" x14ac:dyDescent="0.25">
      <c r="A18" s="709" t="s">
        <v>411</v>
      </c>
      <c r="B18" s="709"/>
      <c r="C18" s="709"/>
      <c r="D18" s="709"/>
      <c r="E18" s="709"/>
      <c r="F18" s="709"/>
      <c r="G18" s="709"/>
    </row>
    <row r="19" spans="1:7" x14ac:dyDescent="0.25">
      <c r="A19" s="709" t="s">
        <v>412</v>
      </c>
      <c r="B19" s="709"/>
      <c r="C19" s="709"/>
      <c r="D19" s="709"/>
      <c r="E19" s="709"/>
      <c r="F19" s="709"/>
      <c r="G19" s="709"/>
    </row>
  </sheetData>
  <sheetProtection sheet="1" objects="1" scenarios="1"/>
  <mergeCells count="17">
    <mergeCell ref="A14:G14"/>
    <mergeCell ref="A15:G15"/>
    <mergeCell ref="A17:G17"/>
    <mergeCell ref="A18:G18"/>
    <mergeCell ref="A19:G19"/>
    <mergeCell ref="A13:G13"/>
    <mergeCell ref="A1:G1"/>
    <mergeCell ref="A3:G3"/>
    <mergeCell ref="A4:G4"/>
    <mergeCell ref="A5:G5"/>
    <mergeCell ref="A6:G6"/>
    <mergeCell ref="A7:G7"/>
    <mergeCell ref="A8:G8"/>
    <mergeCell ref="A9:G9"/>
    <mergeCell ref="A10:G10"/>
    <mergeCell ref="A11:G11"/>
    <mergeCell ref="A12:G1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4"/>
  <sheetViews>
    <sheetView workbookViewId="0">
      <selection activeCell="H31" sqref="H31"/>
    </sheetView>
  </sheetViews>
  <sheetFormatPr defaultRowHeight="15.75" x14ac:dyDescent="0.25"/>
  <cols>
    <col min="1" max="1" width="67" style="2" customWidth="1"/>
  </cols>
  <sheetData>
    <row r="1" spans="1:12" ht="15.75" customHeight="1" x14ac:dyDescent="0.2">
      <c r="A1" s="727" t="s">
        <v>368</v>
      </c>
    </row>
    <row r="2" spans="1:12" ht="15.75" customHeight="1" x14ac:dyDescent="0.2">
      <c r="A2" s="728"/>
    </row>
    <row r="3" spans="1:12" x14ac:dyDescent="0.25">
      <c r="A3" s="429" t="s">
        <v>249</v>
      </c>
      <c r="B3" s="220"/>
      <c r="C3" s="220"/>
      <c r="D3" s="220"/>
      <c r="E3" s="220"/>
      <c r="F3" s="220"/>
      <c r="G3" s="220"/>
      <c r="H3" s="220"/>
      <c r="I3" s="220"/>
      <c r="J3" s="220"/>
      <c r="K3" s="220"/>
      <c r="L3" s="220"/>
    </row>
    <row r="5" spans="1:12" x14ac:dyDescent="0.25">
      <c r="A5" s="2" t="str">
        <f>CONCATENATE("Welcome. You have been directed to this tab because your ",[1]inputPrYr!C6-2," total expenditures exceed your ")</f>
        <v xml:space="preserve">Welcome. You have been directed to this tab because your 2022 total expenditures exceed your </v>
      </c>
    </row>
    <row r="6" spans="1:12" x14ac:dyDescent="0.25">
      <c r="A6" s="2" t="str">
        <f>CONCATENATE([1]inputPrYr!C6-2," budget authority.")</f>
        <v>2022 budget authority.</v>
      </c>
    </row>
    <row r="8" spans="1:12" x14ac:dyDescent="0.25">
      <c r="A8" s="2" t="s">
        <v>556</v>
      </c>
    </row>
    <row r="9" spans="1:12" x14ac:dyDescent="0.25">
      <c r="A9" s="2" t="s">
        <v>557</v>
      </c>
    </row>
    <row r="11" spans="1:12" x14ac:dyDescent="0.25">
      <c r="A11" s="430" t="s">
        <v>250</v>
      </c>
    </row>
    <row r="13" spans="1:12" x14ac:dyDescent="0.25">
      <c r="A13" s="2" t="s">
        <v>558</v>
      </c>
    </row>
    <row r="14" spans="1:12" x14ac:dyDescent="0.25">
      <c r="A14" s="2" t="str">
        <f>CONCATENATE("or the ",[1]inputPrYr!C6," adopted budget has not been submitted to the county clerk) then the budget violation")</f>
        <v>or the 2024 adopted budget has not been submitted to the county clerk) then the budget violation</v>
      </c>
    </row>
    <row r="15" spans="1:12" x14ac:dyDescent="0.25">
      <c r="A15" s="2" t="s">
        <v>559</v>
      </c>
    </row>
    <row r="17" spans="1:1" x14ac:dyDescent="0.25">
      <c r="A17" s="430" t="s">
        <v>251</v>
      </c>
    </row>
    <row r="18" spans="1:1" x14ac:dyDescent="0.25">
      <c r="A18" s="430"/>
    </row>
    <row r="19" spans="1:1" x14ac:dyDescent="0.25">
      <c r="A19" s="2" t="s">
        <v>560</v>
      </c>
    </row>
    <row r="20" spans="1:1" x14ac:dyDescent="0.25">
      <c r="A20" s="2" t="str">
        <f>CONCATENATE("entered for this particular fund.  If your ",[1]inputPrYr!C6-2," budget was amended, did you use the amended,")</f>
        <v>entered for this particular fund.  If your 2022 budget was amended, did you use the amended,</v>
      </c>
    </row>
    <row r="21" spans="1:1" x14ac:dyDescent="0.25">
      <c r="A21" s="2" t="s">
        <v>561</v>
      </c>
    </row>
    <row r="23" spans="1:1" x14ac:dyDescent="0.25">
      <c r="A23" s="2" t="str">
        <f>CONCATENATE("Next, look to see if any of your ",[1]inputPrYr!C6-2," expenditures can be reduced or eliminated. For example,")</f>
        <v>Next, look to see if any of your 2022 expenditures can be reduced or eliminated. For example,</v>
      </c>
    </row>
    <row r="24" spans="1:1" x14ac:dyDescent="0.25">
      <c r="A24" s="2" t="s">
        <v>562</v>
      </c>
    </row>
    <row r="25" spans="1:1" x14ac:dyDescent="0.25">
      <c r="A25" s="2" t="s">
        <v>563</v>
      </c>
    </row>
    <row r="27" spans="1:1" x14ac:dyDescent="0.25">
      <c r="A27" s="2" t="str">
        <f>CONCATENATE("Additionally, do your ",[1]inputPrYr!C6-2," receipts contain a reimbursement (e.g. FEMA)? If so, instead of")</f>
        <v>Additionally, do your 2022 receipts contain a reimbursement (e.g. FEMA)? If so, instead of</v>
      </c>
    </row>
    <row r="28" spans="1:1" x14ac:dyDescent="0.25">
      <c r="A28" s="2" t="s">
        <v>564</v>
      </c>
    </row>
    <row r="30" spans="1:1" x14ac:dyDescent="0.25">
      <c r="A30" s="2" t="s">
        <v>565</v>
      </c>
    </row>
    <row r="31" spans="1:1" x14ac:dyDescent="0.25">
      <c r="A31" s="2" t="s">
        <v>566</v>
      </c>
    </row>
    <row r="32" spans="1:1" x14ac:dyDescent="0.25">
      <c r="A32" s="2" t="s">
        <v>567</v>
      </c>
    </row>
    <row r="33" spans="1:1" x14ac:dyDescent="0.25">
      <c r="A33" s="2" t="s">
        <v>568</v>
      </c>
    </row>
    <row r="34" spans="1:1" x14ac:dyDescent="0.25">
      <c r="A34" s="2" t="s">
        <v>252</v>
      </c>
    </row>
    <row r="36" spans="1:1" x14ac:dyDescent="0.25">
      <c r="A36" s="2" t="s">
        <v>569</v>
      </c>
    </row>
    <row r="37" spans="1:1" x14ac:dyDescent="0.25">
      <c r="A37" s="2" t="s">
        <v>570</v>
      </c>
    </row>
    <row r="39" spans="1:1" x14ac:dyDescent="0.25">
      <c r="A39" s="2" t="s">
        <v>571</v>
      </c>
    </row>
    <row r="40" spans="1:1" x14ac:dyDescent="0.25">
      <c r="A40" s="2" t="s">
        <v>572</v>
      </c>
    </row>
    <row r="42" spans="1:1" x14ac:dyDescent="0.25">
      <c r="A42" s="430" t="s">
        <v>253</v>
      </c>
    </row>
    <row r="44" spans="1:1" x14ac:dyDescent="0.25">
      <c r="A44" s="2" t="s">
        <v>573</v>
      </c>
    </row>
    <row r="45" spans="1:1" x14ac:dyDescent="0.25">
      <c r="A45" s="2" t="s">
        <v>574</v>
      </c>
    </row>
    <row r="46" spans="1:1" x14ac:dyDescent="0.25">
      <c r="A46" s="2" t="s">
        <v>575</v>
      </c>
    </row>
    <row r="47" spans="1:1" x14ac:dyDescent="0.25">
      <c r="A47" s="2" t="s">
        <v>576</v>
      </c>
    </row>
    <row r="48" spans="1:1" x14ac:dyDescent="0.25">
      <c r="A48" s="2" t="s">
        <v>577</v>
      </c>
    </row>
    <row r="49" spans="1:1" x14ac:dyDescent="0.25">
      <c r="A49" s="2" t="s">
        <v>578</v>
      </c>
    </row>
    <row r="50" spans="1:1" x14ac:dyDescent="0.25">
      <c r="A50" s="2" t="s">
        <v>579</v>
      </c>
    </row>
    <row r="51" spans="1:1" x14ac:dyDescent="0.25">
      <c r="A51" s="2" t="s">
        <v>580</v>
      </c>
    </row>
    <row r="53" spans="1:1" x14ac:dyDescent="0.25">
      <c r="A53" s="2" t="s">
        <v>581</v>
      </c>
    </row>
    <row r="54" spans="1:1" x14ac:dyDescent="0.25">
      <c r="A54" s="2" t="s">
        <v>582</v>
      </c>
    </row>
    <row r="56" spans="1:1" x14ac:dyDescent="0.25">
      <c r="A56" s="430" t="str">
        <f>CONCATENATE("What if the ",[1]inputPrYr!C6-2," financial records have been closed?")</f>
        <v>What if the 2022 financial records have been closed?</v>
      </c>
    </row>
    <row r="57" spans="1:1" x14ac:dyDescent="0.25">
      <c r="A57" s="2" t="s">
        <v>583</v>
      </c>
    </row>
    <row r="58" spans="1:1" x14ac:dyDescent="0.25">
      <c r="A58" s="2" t="str">
        <f>CONCATENATE("If the municipality financial records have been closed (i.e. an audit for ",[1]inputPrYr!C6-2," has been completed, or")</f>
        <v>If the municipality financial records have been closed (i.e. an audit for 2022 has been completed, or</v>
      </c>
    </row>
    <row r="59" spans="1:1" x14ac:dyDescent="0.25">
      <c r="A59" s="2" t="str">
        <f>CONCATENATE("the ",[1]inputPrYr!C6," the violation cannot be fixed and must be shown as it occurred. ")</f>
        <v xml:space="preserve">the 2024 the violation cannot be fixed and must be shown as it occurred. </v>
      </c>
    </row>
    <row r="61" spans="1:1" x14ac:dyDescent="0.25">
      <c r="A61" s="2" t="s">
        <v>584</v>
      </c>
    </row>
    <row r="62" spans="1:1" x14ac:dyDescent="0.25">
      <c r="A62" s="2" t="s">
        <v>585</v>
      </c>
    </row>
    <row r="64" spans="1:1" x14ac:dyDescent="0.25">
      <c r="A64" s="2" t="s">
        <v>254</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2"/>
  <sheetViews>
    <sheetView workbookViewId="0">
      <selection activeCell="C26" sqref="C26:C27"/>
    </sheetView>
  </sheetViews>
  <sheetFormatPr defaultRowHeight="15.75" x14ac:dyDescent="0.25"/>
  <cols>
    <col min="1" max="1" width="66.77734375" style="2" customWidth="1"/>
  </cols>
  <sheetData>
    <row r="1" spans="1:10" ht="15.75" customHeight="1" x14ac:dyDescent="0.2">
      <c r="A1" s="729" t="s">
        <v>367</v>
      </c>
    </row>
    <row r="2" spans="1:10" ht="15.75" customHeight="1" x14ac:dyDescent="0.2">
      <c r="A2" s="729"/>
    </row>
    <row r="3" spans="1:10" x14ac:dyDescent="0.25">
      <c r="A3" s="429" t="s">
        <v>255</v>
      </c>
      <c r="B3" s="220"/>
      <c r="C3" s="220"/>
      <c r="D3" s="220"/>
      <c r="E3" s="220"/>
      <c r="F3" s="220"/>
      <c r="G3" s="220"/>
      <c r="H3" s="222"/>
      <c r="I3" s="222"/>
      <c r="J3" s="222"/>
    </row>
    <row r="5" spans="1:10" x14ac:dyDescent="0.25">
      <c r="A5" s="2" t="str">
        <f>CONCATENATE("Welcome. You have been directed to this tab because your ",[1]inputPrYr!C6-2," expenditures show that you ")</f>
        <v xml:space="preserve">Welcome. You have been directed to this tab because your 2022 expenditures show that you </v>
      </c>
    </row>
    <row r="6" spans="1:10" x14ac:dyDescent="0.25">
      <c r="A6" s="2" t="s">
        <v>586</v>
      </c>
    </row>
    <row r="8" spans="1:10" x14ac:dyDescent="0.25">
      <c r="A8" s="2" t="s">
        <v>587</v>
      </c>
    </row>
    <row r="9" spans="1:10" x14ac:dyDescent="0.25">
      <c r="A9" s="2" t="s">
        <v>258</v>
      </c>
    </row>
    <row r="11" spans="1:10" x14ac:dyDescent="0.25">
      <c r="A11" s="430" t="s">
        <v>256</v>
      </c>
    </row>
    <row r="12" spans="1:10" x14ac:dyDescent="0.25">
      <c r="A12" s="430"/>
    </row>
    <row r="13" spans="1:10" x14ac:dyDescent="0.25">
      <c r="A13" s="2" t="s">
        <v>588</v>
      </c>
    </row>
    <row r="14" spans="1:10" x14ac:dyDescent="0.25">
      <c r="A14" s="2" t="s">
        <v>589</v>
      </c>
    </row>
    <row r="16" spans="1:10" x14ac:dyDescent="0.25">
      <c r="A16" s="430" t="s">
        <v>257</v>
      </c>
    </row>
    <row r="17" spans="1:8" x14ac:dyDescent="0.25">
      <c r="A17" s="430"/>
    </row>
    <row r="18" spans="1:8" x14ac:dyDescent="0.25">
      <c r="A18" s="2" t="s">
        <v>590</v>
      </c>
    </row>
    <row r="19" spans="1:8" x14ac:dyDescent="0.25">
      <c r="A19" s="2" t="s">
        <v>591</v>
      </c>
    </row>
    <row r="21" spans="1:8" x14ac:dyDescent="0.25">
      <c r="A21" s="430" t="s">
        <v>592</v>
      </c>
    </row>
    <row r="22" spans="1:8" x14ac:dyDescent="0.25">
      <c r="A22" s="430"/>
    </row>
    <row r="23" spans="1:8" x14ac:dyDescent="0.25">
      <c r="A23" s="2" t="s">
        <v>593</v>
      </c>
    </row>
    <row r="24" spans="1:8" x14ac:dyDescent="0.25">
      <c r="A24" s="2" t="s">
        <v>594</v>
      </c>
    </row>
    <row r="26" spans="1:8" x14ac:dyDescent="0.25">
      <c r="A26" s="430" t="s">
        <v>259</v>
      </c>
    </row>
    <row r="27" spans="1:8" x14ac:dyDescent="0.25">
      <c r="A27" s="430"/>
    </row>
    <row r="28" spans="1:8" x14ac:dyDescent="0.25">
      <c r="A28" s="2" t="str">
        <f>CONCATENATE("If your financial records are not closed for ",[1]inputPrYr!C6-2," (i.e.an audit has not been completed, or the")</f>
        <v>If your financial records are not closed for 2022 (i.e.an audit has not been completed, or the</v>
      </c>
      <c r="B28" s="221"/>
      <c r="C28" s="221"/>
      <c r="D28" s="221"/>
      <c r="E28" s="221"/>
      <c r="F28" s="221"/>
      <c r="G28" s="221"/>
      <c r="H28" s="221"/>
    </row>
    <row r="29" spans="1:8" x14ac:dyDescent="0.25">
      <c r="A29" s="2" t="str">
        <f>CONCATENATE([1]inputPrYr!C6," adopted budget has not been submitted to the county clerk) then either your fund receipts will")</f>
        <v>2024 adopted budget has not been submitted to the county clerk) then either your fund receipts will</v>
      </c>
      <c r="B29" s="221"/>
      <c r="C29" s="221"/>
      <c r="D29" s="221"/>
      <c r="E29" s="221"/>
      <c r="F29" s="221"/>
      <c r="G29" s="221"/>
      <c r="H29" s="221"/>
    </row>
    <row r="30" spans="1:8" x14ac:dyDescent="0.25">
      <c r="A30" s="2" t="s">
        <v>595</v>
      </c>
      <c r="B30" s="221"/>
      <c r="C30" s="221"/>
      <c r="D30" s="221"/>
      <c r="E30" s="221"/>
      <c r="F30" s="221"/>
      <c r="G30" s="221"/>
      <c r="H30" s="221"/>
    </row>
    <row r="31" spans="1:8" x14ac:dyDescent="0.25">
      <c r="A31" s="2" t="s">
        <v>596</v>
      </c>
      <c r="B31" s="221"/>
      <c r="C31" s="221"/>
      <c r="D31" s="221"/>
      <c r="E31" s="221"/>
      <c r="F31" s="221"/>
      <c r="G31" s="221"/>
      <c r="H31" s="221"/>
    </row>
    <row r="32" spans="1:8" x14ac:dyDescent="0.25">
      <c r="B32" s="221"/>
      <c r="C32" s="221"/>
      <c r="D32" s="221"/>
      <c r="E32" s="221"/>
      <c r="F32" s="221"/>
      <c r="G32" s="221"/>
      <c r="H32" s="221"/>
    </row>
    <row r="33" spans="1:8" x14ac:dyDescent="0.25">
      <c r="B33" s="221"/>
      <c r="C33" s="221"/>
      <c r="D33" s="221"/>
      <c r="E33" s="221"/>
      <c r="F33" s="221"/>
      <c r="G33" s="221"/>
      <c r="H33" s="221"/>
    </row>
    <row r="34" spans="1:8" x14ac:dyDescent="0.25">
      <c r="A34" s="2" t="s">
        <v>597</v>
      </c>
      <c r="B34" s="221"/>
      <c r="C34" s="221"/>
      <c r="D34" s="221"/>
      <c r="E34" s="221"/>
      <c r="F34" s="221"/>
      <c r="G34" s="221"/>
      <c r="H34" s="221"/>
    </row>
    <row r="35" spans="1:8" x14ac:dyDescent="0.25">
      <c r="A35" s="2" t="s">
        <v>598</v>
      </c>
      <c r="B35" s="221"/>
      <c r="C35" s="221"/>
      <c r="D35" s="221"/>
      <c r="E35" s="221"/>
      <c r="F35" s="221"/>
      <c r="G35" s="221"/>
      <c r="H35" s="221"/>
    </row>
    <row r="36" spans="1:8" x14ac:dyDescent="0.25">
      <c r="A36" s="2" t="s">
        <v>599</v>
      </c>
      <c r="B36" s="221"/>
      <c r="C36" s="221"/>
      <c r="D36" s="221"/>
      <c r="E36" s="221"/>
      <c r="F36" s="221"/>
      <c r="G36" s="221"/>
      <c r="H36" s="221"/>
    </row>
    <row r="37" spans="1:8" x14ac:dyDescent="0.25">
      <c r="B37" s="221"/>
      <c r="C37" s="221"/>
      <c r="D37" s="221"/>
      <c r="E37" s="221"/>
      <c r="F37" s="221"/>
      <c r="G37" s="221"/>
      <c r="H37" s="221"/>
    </row>
    <row r="38" spans="1:8" x14ac:dyDescent="0.25">
      <c r="A38" s="2" t="s">
        <v>600</v>
      </c>
      <c r="B38" s="221"/>
      <c r="C38" s="221"/>
      <c r="D38" s="221"/>
      <c r="E38" s="221"/>
      <c r="F38" s="221"/>
      <c r="G38" s="221"/>
      <c r="H38" s="221"/>
    </row>
    <row r="39" spans="1:8" x14ac:dyDescent="0.25">
      <c r="A39" s="2" t="s">
        <v>601</v>
      </c>
      <c r="B39" s="221"/>
      <c r="C39" s="221"/>
      <c r="D39" s="221"/>
      <c r="E39" s="221"/>
      <c r="F39" s="221"/>
      <c r="G39" s="221"/>
      <c r="H39" s="221"/>
    </row>
    <row r="40" spans="1:8" x14ac:dyDescent="0.25">
      <c r="A40" s="2" t="s">
        <v>602</v>
      </c>
      <c r="B40" s="221"/>
      <c r="C40" s="221"/>
      <c r="D40" s="221"/>
      <c r="E40" s="221"/>
      <c r="F40" s="221"/>
      <c r="G40" s="221"/>
      <c r="H40" s="221"/>
    </row>
    <row r="41" spans="1:8" x14ac:dyDescent="0.25">
      <c r="B41" s="221"/>
      <c r="C41" s="221"/>
      <c r="D41" s="221"/>
      <c r="E41" s="221"/>
      <c r="F41" s="221"/>
      <c r="G41" s="221"/>
      <c r="H41" s="221"/>
    </row>
    <row r="42" spans="1:8" x14ac:dyDescent="0.25">
      <c r="A42" s="430" t="s">
        <v>603</v>
      </c>
      <c r="B42" s="222"/>
      <c r="C42" s="222"/>
      <c r="D42" s="222"/>
      <c r="E42" s="222"/>
      <c r="F42" s="222"/>
      <c r="G42" s="222"/>
      <c r="H42" s="221"/>
    </row>
    <row r="43" spans="1:8" x14ac:dyDescent="0.25">
      <c r="B43" s="221"/>
      <c r="C43" s="221"/>
      <c r="D43" s="221"/>
      <c r="E43" s="221"/>
      <c r="F43" s="221"/>
      <c r="G43" s="221"/>
      <c r="H43" s="221"/>
    </row>
    <row r="44" spans="1:8" x14ac:dyDescent="0.25">
      <c r="A44" s="2" t="s">
        <v>604</v>
      </c>
      <c r="B44" s="221"/>
      <c r="C44" s="221"/>
      <c r="D44" s="221"/>
      <c r="E44" s="221"/>
      <c r="F44" s="221"/>
      <c r="G44" s="221"/>
      <c r="H44" s="221"/>
    </row>
    <row r="45" spans="1:8" x14ac:dyDescent="0.25">
      <c r="A45" s="2" t="s">
        <v>605</v>
      </c>
      <c r="B45" s="221"/>
      <c r="C45" s="221"/>
      <c r="D45" s="221"/>
      <c r="E45" s="221"/>
      <c r="F45" s="221"/>
      <c r="G45" s="221"/>
      <c r="H45" s="221"/>
    </row>
    <row r="46" spans="1:8" x14ac:dyDescent="0.25">
      <c r="B46" s="221"/>
      <c r="C46" s="221"/>
      <c r="D46" s="221"/>
      <c r="E46" s="221"/>
      <c r="F46" s="221"/>
      <c r="G46" s="221"/>
      <c r="H46" s="221"/>
    </row>
    <row r="47" spans="1:8" x14ac:dyDescent="0.25">
      <c r="A47" s="2" t="s">
        <v>606</v>
      </c>
      <c r="B47" s="221"/>
      <c r="C47" s="221"/>
      <c r="D47" s="221"/>
      <c r="E47" s="221"/>
      <c r="F47" s="221"/>
      <c r="G47" s="221"/>
      <c r="H47" s="221"/>
    </row>
    <row r="48" spans="1:8" x14ac:dyDescent="0.25">
      <c r="A48" s="2" t="s">
        <v>607</v>
      </c>
      <c r="B48" s="221"/>
      <c r="C48" s="221"/>
      <c r="D48" s="221"/>
      <c r="E48" s="221"/>
      <c r="F48" s="221"/>
      <c r="G48" s="221"/>
      <c r="H48" s="221"/>
    </row>
    <row r="49" spans="1:8" x14ac:dyDescent="0.25">
      <c r="A49" s="2" t="s">
        <v>608</v>
      </c>
      <c r="B49" s="221"/>
      <c r="C49" s="221"/>
      <c r="D49" s="221"/>
      <c r="E49" s="221"/>
      <c r="F49" s="221"/>
      <c r="G49" s="221"/>
      <c r="H49" s="221"/>
    </row>
    <row r="50" spans="1:8" x14ac:dyDescent="0.25">
      <c r="A50" s="2" t="s">
        <v>609</v>
      </c>
      <c r="B50" s="221"/>
      <c r="C50" s="221"/>
      <c r="D50" s="221"/>
      <c r="E50" s="221"/>
      <c r="F50" s="221"/>
      <c r="G50" s="221"/>
      <c r="H50" s="221"/>
    </row>
    <row r="51" spans="1:8" x14ac:dyDescent="0.25">
      <c r="B51" s="221"/>
      <c r="C51" s="221"/>
      <c r="D51" s="221"/>
      <c r="E51" s="221"/>
      <c r="F51" s="221"/>
      <c r="G51" s="221"/>
      <c r="H51" s="221"/>
    </row>
    <row r="52" spans="1:8" x14ac:dyDescent="0.25">
      <c r="B52" s="221"/>
      <c r="C52" s="221"/>
      <c r="D52" s="221"/>
      <c r="E52" s="221"/>
      <c r="F52" s="221"/>
      <c r="G52" s="221"/>
      <c r="H52" s="221"/>
    </row>
    <row r="53" spans="1:8" x14ac:dyDescent="0.25">
      <c r="A53" s="2" t="s">
        <v>610</v>
      </c>
      <c r="B53" s="221"/>
      <c r="C53" s="221"/>
      <c r="D53" s="221"/>
      <c r="E53" s="221"/>
      <c r="F53" s="221"/>
      <c r="G53" s="221"/>
      <c r="H53" s="221"/>
    </row>
    <row r="54" spans="1:8" x14ac:dyDescent="0.25">
      <c r="A54" s="2" t="s">
        <v>611</v>
      </c>
      <c r="B54" s="221"/>
      <c r="C54" s="221"/>
      <c r="D54" s="221"/>
      <c r="E54" s="221"/>
      <c r="F54" s="221"/>
      <c r="G54" s="221"/>
      <c r="H54" s="221"/>
    </row>
    <row r="55" spans="1:8" x14ac:dyDescent="0.25">
      <c r="A55" s="2" t="s">
        <v>612</v>
      </c>
      <c r="B55" s="221"/>
      <c r="C55" s="221"/>
      <c r="D55" s="221"/>
      <c r="E55" s="221"/>
      <c r="F55" s="221"/>
      <c r="G55" s="221"/>
      <c r="H55" s="221"/>
    </row>
    <row r="56" spans="1:8" x14ac:dyDescent="0.25">
      <c r="A56" s="2" t="s">
        <v>613</v>
      </c>
      <c r="B56" s="221"/>
      <c r="C56" s="221"/>
      <c r="D56" s="221"/>
      <c r="E56" s="221"/>
      <c r="F56" s="221"/>
      <c r="G56" s="221"/>
      <c r="H56" s="221"/>
    </row>
    <row r="57" spans="1:8" x14ac:dyDescent="0.25">
      <c r="A57" s="2" t="s">
        <v>263</v>
      </c>
      <c r="B57" s="221"/>
      <c r="C57" s="221"/>
      <c r="D57" s="221"/>
      <c r="E57" s="221"/>
      <c r="F57" s="221"/>
      <c r="G57" s="221"/>
      <c r="H57" s="221"/>
    </row>
    <row r="58" spans="1:8" x14ac:dyDescent="0.25">
      <c r="B58" s="221"/>
      <c r="C58" s="221"/>
      <c r="D58" s="221"/>
      <c r="E58" s="221"/>
      <c r="F58" s="221"/>
      <c r="G58" s="221"/>
      <c r="H58" s="221"/>
    </row>
    <row r="59" spans="1:8" x14ac:dyDescent="0.25">
      <c r="A59" s="2" t="s">
        <v>614</v>
      </c>
      <c r="B59" s="221"/>
      <c r="C59" s="221"/>
      <c r="D59" s="221"/>
      <c r="E59" s="221"/>
      <c r="F59" s="221"/>
      <c r="G59" s="221"/>
      <c r="H59" s="221"/>
    </row>
    <row r="60" spans="1:8" x14ac:dyDescent="0.25">
      <c r="A60" s="2" t="s">
        <v>615</v>
      </c>
      <c r="B60" s="221"/>
      <c r="C60" s="221"/>
      <c r="D60" s="221"/>
      <c r="E60" s="221"/>
      <c r="F60" s="221"/>
      <c r="G60" s="221"/>
      <c r="H60" s="221"/>
    </row>
    <row r="61" spans="1:8" x14ac:dyDescent="0.25">
      <c r="B61" s="221"/>
      <c r="C61" s="221"/>
      <c r="D61" s="221"/>
      <c r="E61" s="221"/>
      <c r="F61" s="221"/>
      <c r="G61" s="221"/>
      <c r="H61" s="221"/>
    </row>
    <row r="62" spans="1:8" x14ac:dyDescent="0.25">
      <c r="A62" s="2" t="s">
        <v>254</v>
      </c>
    </row>
    <row r="63" spans="1:8" x14ac:dyDescent="0.25">
      <c r="A63" s="430"/>
    </row>
    <row r="90" spans="1:1" x14ac:dyDescent="0.25">
      <c r="A90" s="430"/>
    </row>
    <row r="91" spans="1:1" x14ac:dyDescent="0.25">
      <c r="A91" s="430"/>
    </row>
    <row r="92" spans="1:1" x14ac:dyDescent="0.25">
      <c r="A92" s="430"/>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workbookViewId="0">
      <selection activeCell="C26" sqref="C26:C27"/>
    </sheetView>
  </sheetViews>
  <sheetFormatPr defaultRowHeight="15.75" x14ac:dyDescent="0.25"/>
  <cols>
    <col min="1" max="1" width="66.77734375" style="2" customWidth="1"/>
  </cols>
  <sheetData>
    <row r="1" spans="1:12" ht="15.75" customHeight="1" x14ac:dyDescent="0.2">
      <c r="A1" s="729" t="s">
        <v>366</v>
      </c>
    </row>
    <row r="2" spans="1:12" ht="15.75" customHeight="1" x14ac:dyDescent="0.2">
      <c r="A2" s="729"/>
    </row>
    <row r="3" spans="1:12" x14ac:dyDescent="0.25">
      <c r="A3" s="429" t="s">
        <v>260</v>
      </c>
      <c r="B3" s="220"/>
      <c r="C3" s="220"/>
      <c r="D3" s="220"/>
      <c r="E3" s="220"/>
      <c r="F3" s="220"/>
      <c r="G3" s="220"/>
      <c r="H3" s="220"/>
      <c r="I3" s="220"/>
      <c r="J3" s="220"/>
      <c r="K3" s="220"/>
      <c r="L3" s="220"/>
    </row>
    <row r="4" spans="1:12" x14ac:dyDescent="0.25">
      <c r="A4" s="429"/>
      <c r="B4" s="220"/>
      <c r="C4" s="220"/>
      <c r="D4" s="220"/>
      <c r="E4" s="220"/>
      <c r="F4" s="220"/>
      <c r="G4" s="220"/>
      <c r="H4" s="220"/>
      <c r="I4" s="220"/>
      <c r="J4" s="220"/>
      <c r="K4" s="220"/>
      <c r="L4" s="220"/>
    </row>
    <row r="5" spans="1:12" x14ac:dyDescent="0.25">
      <c r="I5" s="220"/>
      <c r="J5" s="220"/>
      <c r="K5" s="220"/>
      <c r="L5" s="220"/>
    </row>
    <row r="6" spans="1:12" x14ac:dyDescent="0.25">
      <c r="A6" s="2" t="str">
        <f>CONCATENATE("Welcome.  You have been directed to this tab because your estimated ",[1]inputPrYr!C6-1," total expenditures")</f>
        <v>Welcome.  You have been directed to this tab because your estimated 2023 total expenditures</v>
      </c>
      <c r="I6" s="220"/>
      <c r="J6" s="220"/>
      <c r="K6" s="220"/>
      <c r="L6" s="220"/>
    </row>
    <row r="7" spans="1:12" x14ac:dyDescent="0.25">
      <c r="A7" s="431" t="str">
        <f>CONCATENATE("exceed your ",[1]inputPrYr!C6-1," budget authority.")</f>
        <v>exceed your 2023 budget authority.</v>
      </c>
      <c r="I7" s="220"/>
      <c r="J7" s="220"/>
      <c r="K7" s="220"/>
      <c r="L7" s="220"/>
    </row>
    <row r="8" spans="1:12" x14ac:dyDescent="0.25">
      <c r="I8" s="220"/>
      <c r="J8" s="220"/>
      <c r="K8" s="220"/>
      <c r="L8" s="220"/>
    </row>
    <row r="9" spans="1:12" x14ac:dyDescent="0.25">
      <c r="A9" s="2" t="s">
        <v>616</v>
      </c>
      <c r="I9" s="220"/>
      <c r="J9" s="220"/>
      <c r="K9" s="220"/>
      <c r="L9" s="220"/>
    </row>
    <row r="10" spans="1:12" x14ac:dyDescent="0.25">
      <c r="A10" s="2" t="s">
        <v>617</v>
      </c>
      <c r="I10" s="220"/>
      <c r="J10" s="220"/>
      <c r="K10" s="220"/>
      <c r="L10" s="220"/>
    </row>
    <row r="11" spans="1:12" x14ac:dyDescent="0.25">
      <c r="A11" s="2" t="s">
        <v>618</v>
      </c>
      <c r="I11" s="220"/>
      <c r="J11" s="220"/>
      <c r="K11" s="220"/>
      <c r="L11" s="220"/>
    </row>
    <row r="12" spans="1:12" x14ac:dyDescent="0.25">
      <c r="A12" s="429"/>
      <c r="B12" s="220"/>
      <c r="C12" s="220"/>
      <c r="D12" s="220"/>
      <c r="E12" s="220"/>
      <c r="F12" s="220"/>
      <c r="G12" s="220"/>
      <c r="H12" s="220"/>
      <c r="I12" s="220"/>
      <c r="J12" s="220"/>
      <c r="K12" s="220"/>
      <c r="L12" s="220"/>
    </row>
    <row r="13" spans="1:12" x14ac:dyDescent="0.25">
      <c r="A13" s="430" t="s">
        <v>619</v>
      </c>
    </row>
    <row r="14" spans="1:12" x14ac:dyDescent="0.25">
      <c r="B14" s="221"/>
      <c r="C14" s="221"/>
      <c r="D14" s="221"/>
      <c r="E14" s="221"/>
      <c r="F14" s="221"/>
      <c r="G14" s="221"/>
    </row>
    <row r="15" spans="1:12" x14ac:dyDescent="0.25">
      <c r="A15" s="2" t="str">
        <f>CONCATENATE("Naturally, our preference would be that you consider your ",[1]inputPrYr!C6-1," numbers to see what steps might be")</f>
        <v>Naturally, our preference would be that you consider your 2023 numbers to see what steps might be</v>
      </c>
      <c r="B15" s="221"/>
      <c r="C15" s="221"/>
      <c r="D15" s="221"/>
      <c r="E15" s="221"/>
      <c r="F15" s="221"/>
      <c r="G15" s="221"/>
    </row>
    <row r="16" spans="1:12" ht="17.25" customHeight="1" x14ac:dyDescent="0.25">
      <c r="A16" s="2" t="s">
        <v>620</v>
      </c>
      <c r="B16" s="221"/>
      <c r="C16" s="221"/>
      <c r="D16" s="221"/>
      <c r="E16" s="221"/>
      <c r="F16" s="221"/>
      <c r="G16" s="221"/>
    </row>
    <row r="17" spans="1:7" ht="17.25" customHeight="1" x14ac:dyDescent="0.25">
      <c r="A17" s="2" t="s">
        <v>621</v>
      </c>
      <c r="B17" s="221"/>
      <c r="C17" s="221"/>
      <c r="D17" s="221"/>
      <c r="E17" s="221"/>
      <c r="F17" s="221"/>
      <c r="G17" s="221"/>
    </row>
    <row r="19" spans="1:7" x14ac:dyDescent="0.25">
      <c r="A19" s="430" t="s">
        <v>261</v>
      </c>
    </row>
    <row r="20" spans="1:7" x14ac:dyDescent="0.25">
      <c r="A20" s="430"/>
    </row>
    <row r="21" spans="1:7" x14ac:dyDescent="0.25">
      <c r="A21" s="2" t="s">
        <v>622</v>
      </c>
    </row>
    <row r="22" spans="1:7" x14ac:dyDescent="0.25">
      <c r="A22" s="2" t="s">
        <v>623</v>
      </c>
      <c r="B22" s="221"/>
      <c r="C22" s="221"/>
      <c r="D22" s="221"/>
      <c r="E22" s="221"/>
      <c r="F22" s="221"/>
    </row>
    <row r="23" spans="1:7" x14ac:dyDescent="0.25">
      <c r="B23" s="221"/>
      <c r="C23" s="221"/>
      <c r="D23" s="221"/>
      <c r="E23" s="221"/>
      <c r="F23" s="221"/>
    </row>
    <row r="24" spans="1:7" x14ac:dyDescent="0.25">
      <c r="A24" s="430" t="s">
        <v>624</v>
      </c>
      <c r="B24" s="222"/>
      <c r="C24" s="222"/>
      <c r="D24" s="222"/>
      <c r="E24" s="222"/>
      <c r="F24" s="222"/>
      <c r="G24" s="222"/>
    </row>
    <row r="25" spans="1:7" x14ac:dyDescent="0.25">
      <c r="B25" s="221"/>
      <c r="C25" s="221"/>
      <c r="D25" s="221"/>
      <c r="E25" s="221"/>
      <c r="F25" s="221"/>
    </row>
    <row r="26" spans="1:7" x14ac:dyDescent="0.25">
      <c r="A26" s="432" t="str">
        <f>CONCATENATE("Well, let's look to see if any of your ",[1]inputPrYr!C6-1," expenditures can be reduced or eliminated.  For example,")</f>
        <v>Well, let's look to see if any of your 2023 expenditures can be reduced or eliminated.  For example,</v>
      </c>
      <c r="B26" s="221"/>
      <c r="C26" s="221"/>
      <c r="D26" s="221"/>
      <c r="E26" s="221"/>
      <c r="F26" s="221"/>
    </row>
    <row r="27" spans="1:7" x14ac:dyDescent="0.25">
      <c r="A27" s="432" t="s">
        <v>625</v>
      </c>
      <c r="B27" s="221"/>
      <c r="C27" s="221"/>
      <c r="D27" s="221"/>
      <c r="E27" s="221"/>
      <c r="F27" s="221"/>
    </row>
    <row r="28" spans="1:7" x14ac:dyDescent="0.25">
      <c r="A28" s="432" t="s">
        <v>626</v>
      </c>
      <c r="B28" s="221"/>
      <c r="C28" s="221"/>
      <c r="D28" s="221"/>
      <c r="E28" s="221"/>
      <c r="F28" s="221"/>
    </row>
    <row r="29" spans="1:7" x14ac:dyDescent="0.25">
      <c r="A29" s="432"/>
      <c r="B29" s="221"/>
      <c r="C29" s="221"/>
      <c r="D29" s="221"/>
      <c r="E29" s="221"/>
      <c r="F29" s="221"/>
    </row>
    <row r="30" spans="1:7" x14ac:dyDescent="0.25">
      <c r="A30" s="432" t="str">
        <f>CONCATENATE("Additionally, do your ",[1]inputPrYr!C6-1," receipts contain a reimbursement (e.g. FEMA)?  If so, instead of showing")</f>
        <v>Additionally, do your 2023 receipts contain a reimbursement (e.g. FEMA)?  If so, instead of showing</v>
      </c>
      <c r="B30" s="221"/>
      <c r="C30" s="221"/>
      <c r="D30" s="221"/>
      <c r="E30" s="221"/>
      <c r="F30" s="221"/>
    </row>
    <row r="31" spans="1:7" x14ac:dyDescent="0.25">
      <c r="A31" s="432" t="s">
        <v>627</v>
      </c>
      <c r="B31" s="221"/>
      <c r="C31" s="221"/>
      <c r="D31" s="221"/>
      <c r="E31" s="221"/>
      <c r="F31" s="221"/>
    </row>
    <row r="32" spans="1:7" x14ac:dyDescent="0.25">
      <c r="A32" s="432"/>
      <c r="B32" s="221"/>
      <c r="C32" s="221"/>
      <c r="D32" s="221"/>
      <c r="E32" s="221"/>
      <c r="F32" s="221"/>
    </row>
    <row r="33" spans="1:6" x14ac:dyDescent="0.25">
      <c r="A33" s="432" t="s">
        <v>628</v>
      </c>
      <c r="B33" s="221"/>
      <c r="C33" s="221"/>
      <c r="D33" s="221"/>
      <c r="E33" s="221"/>
      <c r="F33" s="221"/>
    </row>
    <row r="34" spans="1:6" x14ac:dyDescent="0.25">
      <c r="A34" s="432" t="s">
        <v>629</v>
      </c>
      <c r="B34" s="221"/>
      <c r="C34" s="221"/>
      <c r="D34" s="221"/>
      <c r="E34" s="221"/>
      <c r="F34" s="221"/>
    </row>
    <row r="35" spans="1:6" x14ac:dyDescent="0.25">
      <c r="A35" s="432" t="s">
        <v>630</v>
      </c>
      <c r="B35" s="221"/>
      <c r="C35" s="221"/>
      <c r="D35" s="221"/>
      <c r="E35" s="221"/>
      <c r="F35" s="221"/>
    </row>
    <row r="36" spans="1:6" x14ac:dyDescent="0.25">
      <c r="A36" s="432" t="s">
        <v>631</v>
      </c>
      <c r="B36" s="221"/>
      <c r="C36" s="221"/>
      <c r="D36" s="221"/>
      <c r="E36" s="221"/>
      <c r="F36" s="221"/>
    </row>
    <row r="37" spans="1:6" x14ac:dyDescent="0.25">
      <c r="A37" s="432" t="s">
        <v>252</v>
      </c>
      <c r="B37" s="221"/>
      <c r="C37" s="221"/>
      <c r="D37" s="221"/>
      <c r="E37" s="221"/>
      <c r="F37" s="221"/>
    </row>
    <row r="38" spans="1:6" x14ac:dyDescent="0.25">
      <c r="A38" s="432"/>
      <c r="B38" s="221"/>
      <c r="C38" s="221"/>
      <c r="D38" s="221"/>
      <c r="E38" s="221"/>
      <c r="F38" s="221"/>
    </row>
    <row r="39" spans="1:6" x14ac:dyDescent="0.25">
      <c r="A39" s="432" t="s">
        <v>569</v>
      </c>
      <c r="B39" s="221"/>
      <c r="C39" s="221"/>
      <c r="D39" s="221"/>
      <c r="E39" s="221"/>
      <c r="F39" s="221"/>
    </row>
    <row r="40" spans="1:6" x14ac:dyDescent="0.25">
      <c r="A40" s="432" t="s">
        <v>570</v>
      </c>
      <c r="B40" s="221"/>
      <c r="C40" s="221"/>
      <c r="D40" s="221"/>
      <c r="E40" s="221"/>
      <c r="F40" s="221"/>
    </row>
    <row r="41" spans="1:6" x14ac:dyDescent="0.25">
      <c r="A41" s="432"/>
      <c r="B41" s="221"/>
      <c r="C41" s="221"/>
      <c r="D41" s="221"/>
      <c r="E41" s="221"/>
      <c r="F41" s="221"/>
    </row>
    <row r="42" spans="1:6" x14ac:dyDescent="0.25">
      <c r="A42" s="432" t="s">
        <v>632</v>
      </c>
      <c r="B42" s="221"/>
      <c r="C42" s="221"/>
      <c r="D42" s="221"/>
      <c r="E42" s="221"/>
      <c r="F42" s="221"/>
    </row>
    <row r="43" spans="1:6" x14ac:dyDescent="0.25">
      <c r="A43" s="432" t="s">
        <v>633</v>
      </c>
      <c r="B43" s="221"/>
      <c r="C43" s="221"/>
      <c r="D43" s="221"/>
      <c r="E43" s="221"/>
      <c r="F43" s="221"/>
    </row>
    <row r="44" spans="1:6" x14ac:dyDescent="0.25">
      <c r="A44" s="432" t="s">
        <v>634</v>
      </c>
      <c r="B44" s="221"/>
      <c r="C44" s="221"/>
      <c r="D44" s="221"/>
      <c r="E44" s="221"/>
      <c r="F44" s="221"/>
    </row>
    <row r="45" spans="1:6" x14ac:dyDescent="0.25">
      <c r="A45" s="432"/>
      <c r="B45" s="221"/>
      <c r="C45" s="221"/>
      <c r="D45" s="221"/>
      <c r="E45" s="221"/>
      <c r="F45" s="221"/>
    </row>
    <row r="46" spans="1:6" x14ac:dyDescent="0.25">
      <c r="A46" s="432" t="s">
        <v>635</v>
      </c>
      <c r="B46" s="221"/>
      <c r="C46" s="221"/>
      <c r="D46" s="221"/>
      <c r="E46" s="221"/>
      <c r="F46" s="221"/>
    </row>
    <row r="47" spans="1:6" x14ac:dyDescent="0.25">
      <c r="A47" s="432" t="s">
        <v>636</v>
      </c>
      <c r="B47" s="221"/>
      <c r="C47" s="221"/>
      <c r="D47" s="221"/>
      <c r="E47" s="221"/>
      <c r="F47" s="221"/>
    </row>
    <row r="48" spans="1:6" x14ac:dyDescent="0.25">
      <c r="A48" s="432" t="s">
        <v>637</v>
      </c>
    </row>
    <row r="50" spans="1:1" x14ac:dyDescent="0.25">
      <c r="A50" s="2" t="s">
        <v>638</v>
      </c>
    </row>
    <row r="51" spans="1:1" x14ac:dyDescent="0.25">
      <c r="A51" s="2" t="s">
        <v>639</v>
      </c>
    </row>
    <row r="52" spans="1:1" x14ac:dyDescent="0.25">
      <c r="A52" s="2" t="s">
        <v>640</v>
      </c>
    </row>
    <row r="53" spans="1:1" x14ac:dyDescent="0.25">
      <c r="A53" s="2" t="s">
        <v>641</v>
      </c>
    </row>
    <row r="55" spans="1:1" x14ac:dyDescent="0.25">
      <c r="A55" s="2" t="s">
        <v>254</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9"/>
  <sheetViews>
    <sheetView workbookViewId="0">
      <selection activeCell="C26" sqref="C26:C27"/>
    </sheetView>
  </sheetViews>
  <sheetFormatPr defaultRowHeight="15.75" x14ac:dyDescent="0.25"/>
  <cols>
    <col min="1" max="1" width="66.77734375" style="2" customWidth="1"/>
  </cols>
  <sheetData>
    <row r="1" spans="1:7" ht="15.75" customHeight="1" x14ac:dyDescent="0.2">
      <c r="A1" s="729" t="s">
        <v>365</v>
      </c>
    </row>
    <row r="2" spans="1:7" ht="15.75" customHeight="1" x14ac:dyDescent="0.2">
      <c r="A2" s="729"/>
    </row>
    <row r="3" spans="1:7" x14ac:dyDescent="0.25">
      <c r="A3" s="429" t="s">
        <v>262</v>
      </c>
      <c r="B3" s="220"/>
      <c r="C3" s="220"/>
      <c r="D3" s="220"/>
      <c r="E3" s="220"/>
      <c r="F3" s="220"/>
      <c r="G3" s="220"/>
    </row>
    <row r="4" spans="1:7" x14ac:dyDescent="0.25">
      <c r="A4" s="429"/>
      <c r="B4" s="220"/>
      <c r="C4" s="220"/>
      <c r="D4" s="220"/>
      <c r="E4" s="220"/>
      <c r="F4" s="220"/>
      <c r="G4" s="220"/>
    </row>
    <row r="5" spans="1:7" x14ac:dyDescent="0.25">
      <c r="A5" s="2" t="str">
        <f>CONCATENATE("Welcome.  You have been directed to this tab because your ",[1]inputPrYr!C6," estimated expenditures show")</f>
        <v>Welcome.  You have been directed to this tab because your 2024 estimated expenditures show</v>
      </c>
    </row>
    <row r="6" spans="1:7" x14ac:dyDescent="0.25">
      <c r="A6" s="2" t="s">
        <v>642</v>
      </c>
    </row>
    <row r="8" spans="1:7" x14ac:dyDescent="0.25">
      <c r="A8" s="2" t="s">
        <v>587</v>
      </c>
    </row>
    <row r="9" spans="1:7" x14ac:dyDescent="0.25">
      <c r="A9" s="2" t="s">
        <v>258</v>
      </c>
    </row>
    <row r="10" spans="1:7" x14ac:dyDescent="0.25">
      <c r="A10" s="429"/>
      <c r="B10" s="220"/>
      <c r="C10" s="220"/>
      <c r="D10" s="220"/>
      <c r="E10" s="220"/>
      <c r="F10" s="220"/>
      <c r="G10" s="220"/>
    </row>
    <row r="11" spans="1:7" x14ac:dyDescent="0.25">
      <c r="A11" s="430" t="s">
        <v>264</v>
      </c>
    </row>
    <row r="13" spans="1:7" x14ac:dyDescent="0.25">
      <c r="A13" s="2" t="s">
        <v>643</v>
      </c>
    </row>
    <row r="14" spans="1:7" x14ac:dyDescent="0.25">
      <c r="A14" s="2" t="s">
        <v>265</v>
      </c>
    </row>
    <row r="16" spans="1:7" x14ac:dyDescent="0.25">
      <c r="A16" s="2" t="s">
        <v>644</v>
      </c>
    </row>
    <row r="17" spans="1:7" x14ac:dyDescent="0.25">
      <c r="A17" s="2" t="s">
        <v>645</v>
      </c>
    </row>
    <row r="19" spans="1:7" x14ac:dyDescent="0.25">
      <c r="A19" s="430" t="s">
        <v>261</v>
      </c>
    </row>
    <row r="20" spans="1:7" x14ac:dyDescent="0.25">
      <c r="A20" s="430"/>
    </row>
    <row r="21" spans="1:7" x14ac:dyDescent="0.25">
      <c r="A21" s="2" t="s">
        <v>646</v>
      </c>
    </row>
    <row r="22" spans="1:7" x14ac:dyDescent="0.25">
      <c r="A22" s="2" t="s">
        <v>647</v>
      </c>
      <c r="B22" s="221"/>
      <c r="C22" s="221"/>
      <c r="D22" s="221"/>
      <c r="E22" s="221"/>
      <c r="F22" s="221"/>
    </row>
    <row r="23" spans="1:7" x14ac:dyDescent="0.25">
      <c r="B23" s="221"/>
      <c r="C23" s="221"/>
      <c r="D23" s="221"/>
      <c r="E23" s="221"/>
      <c r="F23" s="221"/>
    </row>
    <row r="25" spans="1:7" x14ac:dyDescent="0.25">
      <c r="A25" s="430" t="s">
        <v>624</v>
      </c>
      <c r="B25" s="222"/>
      <c r="C25" s="222"/>
      <c r="D25" s="222"/>
      <c r="E25" s="222"/>
      <c r="F25" s="222"/>
      <c r="G25" s="222"/>
    </row>
    <row r="26" spans="1:7" x14ac:dyDescent="0.25">
      <c r="A26" s="430"/>
      <c r="B26" s="222"/>
      <c r="C26" s="222"/>
      <c r="D26" s="222"/>
      <c r="E26" s="222"/>
      <c r="F26" s="222"/>
      <c r="G26" s="222"/>
    </row>
    <row r="27" spans="1:7" x14ac:dyDescent="0.25">
      <c r="A27" s="2" t="s">
        <v>648</v>
      </c>
      <c r="B27" s="221"/>
      <c r="C27" s="221"/>
      <c r="D27" s="221"/>
      <c r="E27" s="221"/>
      <c r="F27" s="221"/>
      <c r="G27" s="221"/>
    </row>
    <row r="28" spans="1:7" x14ac:dyDescent="0.25">
      <c r="A28" s="2" t="s">
        <v>649</v>
      </c>
      <c r="B28" s="221"/>
      <c r="C28" s="221"/>
      <c r="D28" s="221"/>
      <c r="E28" s="221"/>
      <c r="F28" s="221"/>
      <c r="G28" s="221"/>
    </row>
    <row r="29" spans="1:7" x14ac:dyDescent="0.25">
      <c r="A29" s="2" t="s">
        <v>650</v>
      </c>
      <c r="B29" s="221"/>
      <c r="C29" s="221"/>
      <c r="D29" s="221"/>
      <c r="E29" s="221"/>
      <c r="F29" s="221"/>
      <c r="G29" s="221"/>
    </row>
    <row r="30" spans="1:7" x14ac:dyDescent="0.25">
      <c r="A30" s="430"/>
      <c r="B30" s="222"/>
      <c r="C30" s="222"/>
      <c r="D30" s="222"/>
      <c r="E30" s="222"/>
      <c r="F30" s="222"/>
      <c r="G30" s="222"/>
    </row>
    <row r="31" spans="1:7" x14ac:dyDescent="0.25">
      <c r="A31" s="432" t="str">
        <f>CONCATENATE("So, let's look to see if any of your ",[1]inputPrYr!C6-1," expenditures can be reduced or eliminated. For example,")</f>
        <v>So, let's look to see if any of your 2023 expenditures can be reduced or eliminated. For example,</v>
      </c>
      <c r="B31" s="221"/>
      <c r="C31" s="221"/>
      <c r="D31" s="221"/>
      <c r="E31" s="221"/>
      <c r="F31" s="221"/>
    </row>
    <row r="32" spans="1:7" x14ac:dyDescent="0.25">
      <c r="A32" s="432" t="s">
        <v>562</v>
      </c>
      <c r="B32" s="221"/>
      <c r="C32" s="221"/>
      <c r="D32" s="221"/>
      <c r="E32" s="221"/>
      <c r="F32" s="221"/>
    </row>
    <row r="33" spans="1:7" x14ac:dyDescent="0.25">
      <c r="A33" s="432" t="s">
        <v>563</v>
      </c>
      <c r="B33" s="221"/>
      <c r="C33" s="221"/>
      <c r="D33" s="221"/>
      <c r="E33" s="221"/>
      <c r="F33" s="221"/>
    </row>
    <row r="35" spans="1:7" x14ac:dyDescent="0.25">
      <c r="A35" s="432" t="str">
        <f>CONCATENATE("Additionally, do your ",[1]inputPrYr!C6-1," receipts contain a reimbursement (e.g. FEMA)?  If so, instead of")</f>
        <v>Additionally, do your 2023 receipts contain a reimbursement (e.g. FEMA)?  If so, instead of</v>
      </c>
      <c r="B35" s="221"/>
      <c r="C35" s="221"/>
      <c r="D35" s="221"/>
      <c r="E35" s="221"/>
      <c r="F35" s="221"/>
    </row>
    <row r="36" spans="1:7" x14ac:dyDescent="0.25">
      <c r="A36" s="432" t="s">
        <v>651</v>
      </c>
      <c r="B36" s="221"/>
      <c r="C36" s="221"/>
      <c r="D36" s="221"/>
      <c r="E36" s="221"/>
      <c r="F36" s="221"/>
    </row>
    <row r="37" spans="1:7" x14ac:dyDescent="0.25">
      <c r="B37" s="221"/>
      <c r="C37" s="221"/>
      <c r="D37" s="221"/>
      <c r="E37" s="221"/>
      <c r="F37" s="221"/>
      <c r="G37" s="221"/>
    </row>
    <row r="38" spans="1:7" x14ac:dyDescent="0.25">
      <c r="A38" s="2" t="s">
        <v>652</v>
      </c>
      <c r="B38" s="221"/>
      <c r="C38" s="221"/>
      <c r="D38" s="221"/>
      <c r="E38" s="221"/>
      <c r="F38" s="221"/>
      <c r="G38" s="221"/>
    </row>
    <row r="39" spans="1:7" x14ac:dyDescent="0.25">
      <c r="A39" s="2" t="s">
        <v>653</v>
      </c>
      <c r="B39" s="221"/>
      <c r="C39" s="221"/>
      <c r="D39" s="221"/>
      <c r="E39" s="221"/>
      <c r="F39" s="221"/>
      <c r="G39" s="221"/>
    </row>
    <row r="40" spans="1:7" x14ac:dyDescent="0.25">
      <c r="A40" s="2" t="s">
        <v>654</v>
      </c>
      <c r="B40" s="221"/>
      <c r="C40" s="221"/>
      <c r="D40" s="221"/>
      <c r="E40" s="221"/>
      <c r="F40" s="221"/>
      <c r="G40" s="221"/>
    </row>
    <row r="41" spans="1:7" x14ac:dyDescent="0.25">
      <c r="B41" s="221"/>
      <c r="C41" s="221"/>
      <c r="D41" s="221"/>
      <c r="E41" s="221"/>
      <c r="F41" s="221"/>
      <c r="G41" s="221"/>
    </row>
    <row r="42" spans="1:7" x14ac:dyDescent="0.25">
      <c r="A42" s="432" t="s">
        <v>569</v>
      </c>
      <c r="B42" s="221"/>
      <c r="C42" s="221"/>
      <c r="D42" s="221"/>
      <c r="E42" s="221"/>
      <c r="F42" s="221"/>
    </row>
    <row r="43" spans="1:7" x14ac:dyDescent="0.25">
      <c r="A43" s="432" t="s">
        <v>570</v>
      </c>
      <c r="B43" s="221"/>
      <c r="C43" s="221"/>
      <c r="D43" s="221"/>
      <c r="E43" s="221"/>
      <c r="F43" s="221"/>
    </row>
    <row r="44" spans="1:7" x14ac:dyDescent="0.25">
      <c r="A44" s="432"/>
      <c r="B44" s="221"/>
      <c r="C44" s="221"/>
      <c r="D44" s="221"/>
      <c r="E44" s="221"/>
      <c r="F44" s="221"/>
    </row>
    <row r="45" spans="1:7" x14ac:dyDescent="0.25">
      <c r="A45" s="2" t="s">
        <v>655</v>
      </c>
      <c r="B45" s="221"/>
      <c r="C45" s="221"/>
      <c r="D45" s="221"/>
      <c r="E45" s="221"/>
      <c r="F45" s="221"/>
      <c r="G45" s="221"/>
    </row>
    <row r="46" spans="1:7" x14ac:dyDescent="0.25">
      <c r="A46" s="2" t="s">
        <v>656</v>
      </c>
      <c r="B46" s="221"/>
      <c r="C46" s="221"/>
      <c r="D46" s="221"/>
      <c r="E46" s="221"/>
      <c r="F46" s="221"/>
      <c r="G46" s="221"/>
    </row>
    <row r="47" spans="1:7" x14ac:dyDescent="0.25">
      <c r="A47" s="2" t="s">
        <v>657</v>
      </c>
      <c r="B47" s="221"/>
      <c r="C47" s="221"/>
      <c r="D47" s="221"/>
      <c r="E47" s="221"/>
      <c r="F47" s="221"/>
      <c r="G47" s="221"/>
    </row>
    <row r="49" spans="1:6" x14ac:dyDescent="0.25">
      <c r="A49" s="432" t="s">
        <v>632</v>
      </c>
      <c r="B49" s="221"/>
      <c r="C49" s="221"/>
      <c r="D49" s="221"/>
      <c r="E49" s="221"/>
      <c r="F49" s="221"/>
    </row>
    <row r="50" spans="1:6" x14ac:dyDescent="0.25">
      <c r="A50" s="432" t="s">
        <v>658</v>
      </c>
      <c r="B50" s="221"/>
      <c r="C50" s="221"/>
      <c r="D50" s="221"/>
      <c r="E50" s="221"/>
      <c r="F50" s="221"/>
    </row>
    <row r="51" spans="1:6" x14ac:dyDescent="0.25">
      <c r="A51" s="432" t="s">
        <v>659</v>
      </c>
      <c r="B51" s="221"/>
      <c r="C51" s="221"/>
      <c r="D51" s="221"/>
      <c r="E51" s="221"/>
      <c r="F51" s="221"/>
    </row>
    <row r="53" spans="1:6" x14ac:dyDescent="0.25">
      <c r="A53" s="2" t="s">
        <v>254</v>
      </c>
    </row>
    <row r="59" spans="1:6" x14ac:dyDescent="0.25">
      <c r="A59" s="430"/>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
  <sheetViews>
    <sheetView workbookViewId="0">
      <selection activeCell="C26" sqref="C26:C27"/>
    </sheetView>
  </sheetViews>
  <sheetFormatPr defaultRowHeight="15.75" x14ac:dyDescent="0.25"/>
  <cols>
    <col min="1" max="1" width="66.77734375" style="2" customWidth="1"/>
  </cols>
  <sheetData>
    <row r="1" spans="1:7" ht="15.75" customHeight="1" x14ac:dyDescent="0.2">
      <c r="A1" s="729" t="s">
        <v>364</v>
      </c>
    </row>
    <row r="2" spans="1:7" ht="15.75" customHeight="1" x14ac:dyDescent="0.2">
      <c r="A2" s="729"/>
    </row>
    <row r="3" spans="1:7" x14ac:dyDescent="0.25">
      <c r="A3" s="429" t="s">
        <v>660</v>
      </c>
      <c r="B3" s="220"/>
      <c r="C3" s="220"/>
      <c r="D3" s="220"/>
      <c r="E3" s="220"/>
      <c r="F3" s="220"/>
      <c r="G3" s="220"/>
    </row>
    <row r="4" spans="1:7" x14ac:dyDescent="0.25">
      <c r="A4" s="429"/>
      <c r="B4" s="220"/>
      <c r="C4" s="220"/>
      <c r="D4" s="220"/>
      <c r="E4" s="220"/>
      <c r="F4" s="220"/>
      <c r="G4" s="220"/>
    </row>
    <row r="5" spans="1:7" x14ac:dyDescent="0.25">
      <c r="A5" s="429"/>
      <c r="B5" s="220"/>
      <c r="C5" s="220"/>
      <c r="D5" s="220"/>
      <c r="E5" s="220"/>
      <c r="F5" s="220"/>
      <c r="G5" s="220"/>
    </row>
    <row r="6" spans="1:7" x14ac:dyDescent="0.25">
      <c r="A6" s="2" t="str">
        <f>CONCATENATE("Welcome. You have been directed to this tab because your estimated ",[1]inputPrYr!C6," total expenditures")</f>
        <v>Welcome. You have been directed to this tab because your estimated 2024 total expenditures</v>
      </c>
    </row>
    <row r="7" spans="1:7" x14ac:dyDescent="0.25">
      <c r="A7" s="2" t="str">
        <f>CONCATENATE("your ",[1]inputPrYr!C6," unemcumbered cash balance Dec 31.")</f>
        <v>your 2024 unemcumbered cash balance Dec 31.</v>
      </c>
    </row>
    <row r="9" spans="1:7" x14ac:dyDescent="0.25">
      <c r="A9" s="2" t="s">
        <v>661</v>
      </c>
    </row>
    <row r="10" spans="1:7" x14ac:dyDescent="0.25">
      <c r="A10" s="2" t="s">
        <v>662</v>
      </c>
    </row>
    <row r="12" spans="1:7" x14ac:dyDescent="0.25">
      <c r="A12" s="430" t="s">
        <v>266</v>
      </c>
    </row>
    <row r="13" spans="1:7" x14ac:dyDescent="0.25">
      <c r="A13" s="429"/>
      <c r="B13" s="220"/>
      <c r="C13" s="220"/>
      <c r="D13" s="220"/>
      <c r="E13" s="220"/>
      <c r="F13" s="220"/>
      <c r="G13" s="220"/>
    </row>
    <row r="14" spans="1:7" x14ac:dyDescent="0.25">
      <c r="A14" s="2" t="s">
        <v>663</v>
      </c>
    </row>
    <row r="15" spans="1:7" x14ac:dyDescent="0.25">
      <c r="A15" s="2" t="s">
        <v>664</v>
      </c>
    </row>
    <row r="17" spans="1:1" x14ac:dyDescent="0.25">
      <c r="A17" s="430" t="s">
        <v>267</v>
      </c>
    </row>
    <row r="19" spans="1:1" x14ac:dyDescent="0.25">
      <c r="A19" s="2" t="s">
        <v>665</v>
      </c>
    </row>
    <row r="20" spans="1:1" x14ac:dyDescent="0.25">
      <c r="A20" s="2" t="s">
        <v>666</v>
      </c>
    </row>
    <row r="22" spans="1:1" x14ac:dyDescent="0.25">
      <c r="A22" s="430" t="s">
        <v>268</v>
      </c>
    </row>
    <row r="24" spans="1:1" x14ac:dyDescent="0.25">
      <c r="A24" s="2" t="s">
        <v>667</v>
      </c>
    </row>
    <row r="25" spans="1:1" x14ac:dyDescent="0.25">
      <c r="A25" s="2" t="s">
        <v>668</v>
      </c>
    </row>
    <row r="26" spans="1:1" x14ac:dyDescent="0.25">
      <c r="A26" s="2" t="s">
        <v>669</v>
      </c>
    </row>
    <row r="28" spans="1:1" x14ac:dyDescent="0.25">
      <c r="A28" s="2" t="s">
        <v>670</v>
      </c>
    </row>
    <row r="29" spans="1:1" x14ac:dyDescent="0.25">
      <c r="A29" s="2" t="s">
        <v>671</v>
      </c>
    </row>
    <row r="30" spans="1:1" x14ac:dyDescent="0.25">
      <c r="A30" s="2" t="s">
        <v>672</v>
      </c>
    </row>
    <row r="32" spans="1:1" x14ac:dyDescent="0.25">
      <c r="A32" s="2" t="s">
        <v>673</v>
      </c>
    </row>
    <row r="33" spans="1:1" x14ac:dyDescent="0.25">
      <c r="A33" s="2" t="s">
        <v>674</v>
      </c>
    </row>
    <row r="34" spans="1:1" x14ac:dyDescent="0.25">
      <c r="A34" s="2" t="s">
        <v>675</v>
      </c>
    </row>
    <row r="36" spans="1:1" x14ac:dyDescent="0.25">
      <c r="A36" s="2" t="s">
        <v>676</v>
      </c>
    </row>
    <row r="37" spans="1:1" x14ac:dyDescent="0.25">
      <c r="A37" s="2" t="s">
        <v>677</v>
      </c>
    </row>
    <row r="39" spans="1:1" x14ac:dyDescent="0.25">
      <c r="A39" s="2" t="s">
        <v>254</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5"/>
  <sheetViews>
    <sheetView workbookViewId="0">
      <selection activeCell="C26" sqref="C26:C27"/>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525" t="s">
        <v>345</v>
      </c>
    </row>
    <row r="4" spans="1:5" ht="9.75" customHeight="1" x14ac:dyDescent="0.55000000000000004">
      <c r="B4" s="526"/>
    </row>
    <row r="5" spans="1:5" ht="15.75" x14ac:dyDescent="0.2">
      <c r="B5" s="527" t="s">
        <v>678</v>
      </c>
    </row>
    <row r="6" spans="1:5" ht="8.1" customHeight="1" x14ac:dyDescent="0.2">
      <c r="B6" s="527"/>
    </row>
    <row r="7" spans="1:5" ht="15.75" x14ac:dyDescent="0.2">
      <c r="B7" s="527" t="s">
        <v>679</v>
      </c>
    </row>
    <row r="8" spans="1:5" ht="15.75" x14ac:dyDescent="0.2">
      <c r="B8" s="528" t="s">
        <v>680</v>
      </c>
    </row>
    <row r="9" spans="1:5" ht="8.1" customHeight="1" x14ac:dyDescent="0.2">
      <c r="B9" s="528"/>
    </row>
    <row r="10" spans="1:5" ht="15.75" x14ac:dyDescent="0.2">
      <c r="C10" s="529" t="s">
        <v>681</v>
      </c>
      <c r="D10" s="527" t="s">
        <v>682</v>
      </c>
    </row>
    <row r="11" spans="1:5" ht="15.75" customHeight="1" x14ac:dyDescent="0.2">
      <c r="B11" s="527"/>
      <c r="D11" s="527" t="s">
        <v>683</v>
      </c>
    </row>
    <row r="12" spans="1:5" ht="15.75" customHeight="1" x14ac:dyDescent="0.2">
      <c r="B12" s="527"/>
      <c r="D12" s="527"/>
    </row>
    <row r="13" spans="1:5" ht="15.75" customHeight="1" x14ac:dyDescent="0.2">
      <c r="B13" s="527" t="s">
        <v>684</v>
      </c>
      <c r="E13" s="527" t="s">
        <v>685</v>
      </c>
    </row>
    <row r="14" spans="1:5" ht="15.75" customHeight="1" x14ac:dyDescent="0.2">
      <c r="B14" s="527"/>
      <c r="E14" s="527" t="s">
        <v>686</v>
      </c>
    </row>
    <row r="15" spans="1:5" ht="15.75" customHeight="1" x14ac:dyDescent="0.2">
      <c r="B15" s="527"/>
      <c r="E15" s="527" t="s">
        <v>687</v>
      </c>
    </row>
    <row r="16" spans="1:5" ht="15.75" customHeight="1" x14ac:dyDescent="0.2">
      <c r="B16" s="527"/>
      <c r="E16" s="527" t="s">
        <v>688</v>
      </c>
    </row>
    <row r="17" spans="2:5" ht="15.75" customHeight="1" x14ac:dyDescent="0.2">
      <c r="B17" s="527"/>
      <c r="E17" s="527"/>
    </row>
    <row r="18" spans="2:5" ht="15.75" customHeight="1" x14ac:dyDescent="0.2">
      <c r="B18" s="527"/>
      <c r="E18" s="527"/>
    </row>
    <row r="19" spans="2:5" ht="15.75" customHeight="1" x14ac:dyDescent="0.2">
      <c r="B19" s="527"/>
      <c r="E19" s="527"/>
    </row>
    <row r="20" spans="2:5" ht="15.75" customHeight="1" x14ac:dyDescent="0.2">
      <c r="B20" s="527"/>
      <c r="E20" s="527"/>
    </row>
    <row r="21" spans="2:5" ht="15.75" customHeight="1" x14ac:dyDescent="0.2">
      <c r="B21" s="527"/>
      <c r="E21" s="527"/>
    </row>
    <row r="22" spans="2:5" ht="15.75" customHeight="1" x14ac:dyDescent="0.2">
      <c r="B22" s="527"/>
      <c r="E22" s="527"/>
    </row>
    <row r="23" spans="2:5" ht="15.75" customHeight="1" x14ac:dyDescent="0.2">
      <c r="B23" s="527"/>
      <c r="E23" s="527"/>
    </row>
    <row r="24" spans="2:5" ht="15.75" customHeight="1" x14ac:dyDescent="0.2">
      <c r="B24" s="527"/>
      <c r="E24" s="527"/>
    </row>
    <row r="25" spans="2:5" ht="15.75" customHeight="1" x14ac:dyDescent="0.2">
      <c r="B25" s="527"/>
      <c r="E25" s="527"/>
    </row>
    <row r="26" spans="2:5" ht="15.75" customHeight="1" x14ac:dyDescent="0.2">
      <c r="B26" s="527"/>
      <c r="E26" s="527"/>
    </row>
    <row r="27" spans="2:5" ht="15.75" customHeight="1" x14ac:dyDescent="0.2">
      <c r="B27" s="527"/>
      <c r="E27" s="527"/>
    </row>
    <row r="28" spans="2:5" ht="15.75" customHeight="1" x14ac:dyDescent="0.2">
      <c r="B28" s="527"/>
      <c r="E28" s="527"/>
    </row>
    <row r="29" spans="2:5" ht="15.75" customHeight="1" x14ac:dyDescent="0.2">
      <c r="B29" s="527"/>
      <c r="E29" s="527"/>
    </row>
    <row r="30" spans="2:5" ht="15.75" customHeight="1" x14ac:dyDescent="0.2">
      <c r="B30" s="527"/>
      <c r="E30" s="527"/>
    </row>
    <row r="31" spans="2:5" ht="15.75" customHeight="1" x14ac:dyDescent="0.2">
      <c r="B31" s="527"/>
      <c r="E31" s="527"/>
    </row>
    <row r="32" spans="2:5" ht="15.75" customHeight="1" x14ac:dyDescent="0.2">
      <c r="B32" s="527"/>
      <c r="E32" s="527"/>
    </row>
    <row r="33" spans="2:5" ht="15.75" customHeight="1" x14ac:dyDescent="0.2">
      <c r="B33" s="527"/>
      <c r="E33" s="527"/>
    </row>
    <row r="34" spans="2:5" ht="15.75" customHeight="1" x14ac:dyDescent="0.2">
      <c r="B34" s="527"/>
      <c r="E34" s="527"/>
    </row>
    <row r="35" spans="2:5" ht="15.75" customHeight="1" x14ac:dyDescent="0.2">
      <c r="B35" s="527"/>
      <c r="E35" s="527"/>
    </row>
    <row r="36" spans="2:5" ht="15.75" customHeight="1" x14ac:dyDescent="0.2">
      <c r="B36" s="527" t="s">
        <v>689</v>
      </c>
      <c r="D36" s="527"/>
      <c r="E36" s="527" t="s">
        <v>690</v>
      </c>
    </row>
    <row r="37" spans="2:5" ht="15.75" customHeight="1" x14ac:dyDescent="0.2">
      <c r="B37" s="527"/>
      <c r="D37" s="527"/>
      <c r="E37" s="527" t="s">
        <v>691</v>
      </c>
    </row>
    <row r="38" spans="2:5" ht="15.75" customHeight="1" x14ac:dyDescent="0.2">
      <c r="B38" s="527"/>
      <c r="D38" s="527"/>
      <c r="E38" s="527" t="s">
        <v>692</v>
      </c>
    </row>
    <row r="39" spans="2:5" ht="15.75" customHeight="1" x14ac:dyDescent="0.2">
      <c r="B39" s="527"/>
      <c r="D39" s="527"/>
      <c r="E39" s="527" t="s">
        <v>693</v>
      </c>
    </row>
    <row r="40" spans="2:5" ht="15.75" customHeight="1" x14ac:dyDescent="0.2"/>
    <row r="41" spans="2:5" ht="15.75" customHeight="1" x14ac:dyDescent="0.2">
      <c r="B41" s="527" t="s">
        <v>345</v>
      </c>
      <c r="E41" s="530" t="s">
        <v>694</v>
      </c>
    </row>
    <row r="42" spans="2:5" ht="15.75" customHeight="1" x14ac:dyDescent="0.2">
      <c r="B42" s="527"/>
      <c r="E42" s="530"/>
    </row>
    <row r="43" spans="2:5" ht="15.75" customHeight="1" x14ac:dyDescent="0.2">
      <c r="E43" s="530"/>
    </row>
    <row r="44" spans="2:5" ht="15.75" customHeight="1" x14ac:dyDescent="0.2">
      <c r="B44" s="527" t="s">
        <v>695</v>
      </c>
      <c r="D44" s="527"/>
      <c r="E44" s="530" t="s">
        <v>696</v>
      </c>
    </row>
    <row r="45" spans="2:5" ht="15.75" customHeight="1" x14ac:dyDescent="0.2">
      <c r="B45" s="527"/>
      <c r="D45" s="527"/>
      <c r="E45" s="527"/>
    </row>
    <row r="46" spans="2:5" ht="15.75" customHeight="1" x14ac:dyDescent="0.2">
      <c r="B46" s="527"/>
      <c r="D46" s="527"/>
    </row>
    <row r="47" spans="2:5" ht="15.75" customHeight="1" x14ac:dyDescent="0.2">
      <c r="B47" s="527"/>
      <c r="D47" s="527"/>
    </row>
    <row r="48" spans="2:5" ht="15.75" customHeight="1" x14ac:dyDescent="0.2">
      <c r="B48" s="527"/>
      <c r="D48" s="527"/>
    </row>
    <row r="49" spans="1:14" ht="15.75" customHeight="1" x14ac:dyDescent="0.2">
      <c r="B49" s="527"/>
      <c r="D49" s="527"/>
    </row>
    <row r="50" spans="1:14" ht="15.75" customHeight="1" x14ac:dyDescent="0.2">
      <c r="B50" s="527"/>
      <c r="D50" s="527"/>
    </row>
    <row r="51" spans="1:14" ht="15.75" customHeight="1" x14ac:dyDescent="0.2">
      <c r="B51" s="527"/>
      <c r="D51" s="527"/>
    </row>
    <row r="52" spans="1:14" ht="15.75" customHeight="1" x14ac:dyDescent="0.2">
      <c r="B52" s="527"/>
      <c r="D52" s="527"/>
    </row>
    <row r="53" spans="1:14" ht="15.75" customHeight="1" x14ac:dyDescent="0.2">
      <c r="B53" s="527"/>
      <c r="D53" s="527"/>
    </row>
    <row r="54" spans="1:14" ht="15.75" customHeight="1" x14ac:dyDescent="0.2">
      <c r="B54" s="527"/>
      <c r="D54" s="527"/>
    </row>
    <row r="55" spans="1:14" ht="15.75" customHeight="1" x14ac:dyDescent="0.2">
      <c r="B55" s="527"/>
    </row>
    <row r="56" spans="1:14" ht="15.75" customHeight="1" x14ac:dyDescent="0.2">
      <c r="B56" s="527"/>
    </row>
    <row r="57" spans="1:14" ht="15.75" customHeight="1" x14ac:dyDescent="0.2">
      <c r="B57" s="527"/>
    </row>
    <row r="58" spans="1:14" ht="15.75" customHeight="1" x14ac:dyDescent="0.2">
      <c r="B58" s="527"/>
    </row>
    <row r="59" spans="1:14" ht="3" customHeight="1" x14ac:dyDescent="0.2">
      <c r="A59" s="531"/>
      <c r="B59" s="532"/>
      <c r="C59" s="531"/>
      <c r="D59" s="531"/>
      <c r="E59" s="531"/>
      <c r="F59" s="531"/>
      <c r="G59" s="531"/>
      <c r="H59" s="531"/>
      <c r="I59" s="531"/>
      <c r="J59" s="531"/>
      <c r="K59" s="531"/>
      <c r="L59" s="531"/>
      <c r="M59" s="531"/>
      <c r="N59" s="531"/>
    </row>
    <row r="60" spans="1:14" ht="15.75" customHeight="1" x14ac:dyDescent="0.2">
      <c r="B60" s="527"/>
    </row>
    <row r="61" spans="1:14" ht="15.75" customHeight="1" x14ac:dyDescent="0.25">
      <c r="A61" s="730" t="s">
        <v>323</v>
      </c>
      <c r="B61" s="730"/>
      <c r="C61" s="730"/>
      <c r="D61" s="730"/>
      <c r="E61" s="730"/>
      <c r="F61" s="730"/>
      <c r="G61" s="730"/>
      <c r="H61" s="730"/>
      <c r="I61" s="730"/>
      <c r="J61" s="730"/>
      <c r="K61" s="533"/>
    </row>
    <row r="62" spans="1:14" ht="21.75" customHeight="1" x14ac:dyDescent="0.25">
      <c r="A62" s="730"/>
      <c r="B62" s="730"/>
      <c r="C62" s="730"/>
      <c r="D62" s="730"/>
      <c r="E62" s="730"/>
      <c r="F62" s="730"/>
      <c r="G62" s="730"/>
      <c r="H62" s="730"/>
      <c r="I62" s="730"/>
      <c r="J62" s="730"/>
      <c r="K62" s="533"/>
    </row>
    <row r="63" spans="1:14" ht="15.75" customHeight="1" x14ac:dyDescent="0.2">
      <c r="B63" s="527"/>
    </row>
    <row r="64" spans="1:14" ht="15.75" x14ac:dyDescent="0.2">
      <c r="B64" s="527"/>
    </row>
    <row r="65" spans="2:2" ht="18.75" customHeight="1" x14ac:dyDescent="0.2">
      <c r="B65" s="527"/>
    </row>
    <row r="66" spans="2:2" ht="13.5" customHeight="1" x14ac:dyDescent="0.2">
      <c r="B66" s="527"/>
    </row>
    <row r="67" spans="2:2" ht="15.75" x14ac:dyDescent="0.2">
      <c r="B67" s="527"/>
    </row>
    <row r="82" spans="12:12" x14ac:dyDescent="0.2">
      <c r="L82" s="389"/>
    </row>
    <row r="214" spans="1:14" ht="3" customHeight="1" x14ac:dyDescent="0.2">
      <c r="A214" s="531"/>
      <c r="B214" s="532"/>
      <c r="C214" s="531"/>
      <c r="D214" s="531"/>
      <c r="E214" s="531"/>
      <c r="F214" s="531"/>
      <c r="G214" s="531"/>
      <c r="H214" s="531"/>
      <c r="I214" s="531"/>
      <c r="J214" s="531"/>
      <c r="K214" s="531"/>
      <c r="L214" s="531"/>
      <c r="M214" s="531"/>
      <c r="N214" s="531"/>
    </row>
    <row r="217" spans="1:14" ht="18" x14ac:dyDescent="0.25">
      <c r="A217" s="534" t="s">
        <v>289</v>
      </c>
      <c r="B217" s="535"/>
    </row>
    <row r="218" spans="1:14" ht="15.75" x14ac:dyDescent="0.25">
      <c r="B218" s="2"/>
    </row>
    <row r="219" spans="1:14" ht="30" customHeight="1" x14ac:dyDescent="0.25">
      <c r="B219" s="709" t="s">
        <v>290</v>
      </c>
      <c r="C219" s="709"/>
      <c r="D219" s="709"/>
      <c r="E219" s="709"/>
      <c r="F219" s="709"/>
      <c r="G219" s="709"/>
      <c r="H219" s="709"/>
      <c r="I219" s="709"/>
      <c r="J219" s="337"/>
    </row>
    <row r="220" spans="1:14" ht="15.75" x14ac:dyDescent="0.25">
      <c r="B220" s="420" t="s">
        <v>383</v>
      </c>
    </row>
    <row r="221" spans="1:14" ht="15.75" x14ac:dyDescent="0.25">
      <c r="B221" s="2"/>
    </row>
    <row r="222" spans="1:14" ht="45.75" customHeight="1" x14ac:dyDescent="0.25">
      <c r="B222" s="709" t="s">
        <v>291</v>
      </c>
      <c r="C222" s="709"/>
      <c r="D222" s="709"/>
      <c r="E222" s="709"/>
      <c r="F222" s="709"/>
      <c r="G222" s="709"/>
      <c r="H222" s="709"/>
    </row>
    <row r="223" spans="1:14" ht="15.75" x14ac:dyDescent="0.25">
      <c r="B223" s="420" t="s">
        <v>384</v>
      </c>
    </row>
    <row r="224" spans="1:14" ht="15.75" x14ac:dyDescent="0.25">
      <c r="B224" s="2"/>
    </row>
    <row r="225" spans="2:2" ht="15.75" x14ac:dyDescent="0.25">
      <c r="B225" s="2" t="s">
        <v>385</v>
      </c>
    </row>
    <row r="226" spans="2:2" ht="15.75" x14ac:dyDescent="0.25">
      <c r="B226" s="420" t="s">
        <v>386</v>
      </c>
    </row>
    <row r="227" spans="2:2" ht="15.75" x14ac:dyDescent="0.25">
      <c r="B227" s="2"/>
    </row>
    <row r="228" spans="2:2" ht="15.75" x14ac:dyDescent="0.25">
      <c r="B228" s="2" t="s">
        <v>292</v>
      </c>
    </row>
    <row r="229" spans="2:2" ht="15.75" x14ac:dyDescent="0.25">
      <c r="B229" s="420" t="s">
        <v>387</v>
      </c>
    </row>
    <row r="230" spans="2:2" ht="15.75" x14ac:dyDescent="0.25">
      <c r="B230" s="2"/>
    </row>
    <row r="231" spans="2:2" ht="15.75" x14ac:dyDescent="0.25">
      <c r="B231" s="2" t="s">
        <v>293</v>
      </c>
    </row>
    <row r="232" spans="2:2" ht="15.75" x14ac:dyDescent="0.25">
      <c r="B232" s="420" t="s">
        <v>388</v>
      </c>
    </row>
    <row r="233" spans="2:2" ht="15.75" x14ac:dyDescent="0.25">
      <c r="B233" s="2"/>
    </row>
    <row r="234" spans="2:2" ht="15.75" x14ac:dyDescent="0.25">
      <c r="B234" s="2" t="s">
        <v>389</v>
      </c>
    </row>
    <row r="235" spans="2:2" ht="15.75" x14ac:dyDescent="0.25">
      <c r="B235" s="420" t="s">
        <v>390</v>
      </c>
    </row>
    <row r="236" spans="2:2" ht="15.75" x14ac:dyDescent="0.25">
      <c r="B236" s="2"/>
    </row>
    <row r="237" spans="2:2" ht="15.75" x14ac:dyDescent="0.25">
      <c r="B237" s="2" t="s">
        <v>294</v>
      </c>
    </row>
    <row r="238" spans="2:2" ht="15.75" x14ac:dyDescent="0.25">
      <c r="B238" s="420" t="s">
        <v>391</v>
      </c>
    </row>
    <row r="239" spans="2:2" ht="15.75" x14ac:dyDescent="0.25">
      <c r="B239" s="2"/>
    </row>
    <row r="240" spans="2:2" ht="15.75" x14ac:dyDescent="0.25">
      <c r="B240" s="2" t="s">
        <v>295</v>
      </c>
    </row>
    <row r="241" spans="2:2" ht="15.75" x14ac:dyDescent="0.25">
      <c r="B241" s="420" t="s">
        <v>392</v>
      </c>
    </row>
    <row r="242" spans="2:2" ht="15.75" x14ac:dyDescent="0.25">
      <c r="B242" s="2"/>
    </row>
    <row r="243" spans="2:2" ht="15.75" x14ac:dyDescent="0.25">
      <c r="B243" s="2" t="s">
        <v>296</v>
      </c>
    </row>
    <row r="244" spans="2:2" ht="15.75" x14ac:dyDescent="0.25">
      <c r="B244" s="420" t="s">
        <v>393</v>
      </c>
    </row>
    <row r="245" spans="2:2" ht="15.75" x14ac:dyDescent="0.25">
      <c r="B245" s="2"/>
    </row>
  </sheetData>
  <sheetProtection sheet="1" objects="1" scenarios="1"/>
  <mergeCells count="3">
    <mergeCell ref="A61:J62"/>
    <mergeCell ref="B219:I219"/>
    <mergeCell ref="B222:H222"/>
  </mergeCells>
  <hyperlinks>
    <hyperlink ref="B244" r:id="rId1"/>
  </hyperlinks>
  <pageMargins left="0.7" right="0.7" top="0.75" bottom="0.75" header="0.3" footer="0.3"/>
  <pageSetup orientation="landscape" r:id="rId2"/>
  <drawing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0"/>
  <sheetViews>
    <sheetView workbookViewId="0">
      <selection activeCell="C26" sqref="C26:C27"/>
    </sheetView>
  </sheetViews>
  <sheetFormatPr defaultRowHeight="15.75" x14ac:dyDescent="0.2"/>
  <cols>
    <col min="1" max="1" width="83.6640625" style="24" customWidth="1"/>
    <col min="2" max="16384" width="8.88671875" style="23"/>
  </cols>
  <sheetData>
    <row r="1" spans="1:1" x14ac:dyDescent="0.2">
      <c r="A1" s="433" t="s">
        <v>697</v>
      </c>
    </row>
    <row r="2" spans="1:1" x14ac:dyDescent="0.2">
      <c r="A2" s="24" t="s">
        <v>698</v>
      </c>
    </row>
    <row r="3" spans="1:1" x14ac:dyDescent="0.2">
      <c r="A3" s="24" t="s">
        <v>699</v>
      </c>
    </row>
    <row r="4" spans="1:1" ht="17.25" customHeight="1" x14ac:dyDescent="0.2">
      <c r="A4" s="24" t="s">
        <v>700</v>
      </c>
    </row>
    <row r="5" spans="1:1" x14ac:dyDescent="0.2">
      <c r="A5" s="24" t="s">
        <v>701</v>
      </c>
    </row>
    <row r="6" spans="1:1" x14ac:dyDescent="0.2">
      <c r="A6" s="24" t="s">
        <v>702</v>
      </c>
    </row>
    <row r="7" spans="1:1" x14ac:dyDescent="0.2">
      <c r="A7" s="24" t="s">
        <v>703</v>
      </c>
    </row>
    <row r="9" spans="1:1" x14ac:dyDescent="0.2">
      <c r="A9" s="433" t="s">
        <v>704</v>
      </c>
    </row>
    <row r="10" spans="1:1" x14ac:dyDescent="0.2">
      <c r="A10" s="24" t="s">
        <v>369</v>
      </c>
    </row>
    <row r="11" spans="1:1" x14ac:dyDescent="0.2">
      <c r="A11" s="24" t="s">
        <v>370</v>
      </c>
    </row>
    <row r="12" spans="1:1" ht="31.5" x14ac:dyDescent="0.2">
      <c r="A12" s="24" t="s">
        <v>371</v>
      </c>
    </row>
    <row r="13" spans="1:1" ht="31.5" x14ac:dyDescent="0.2">
      <c r="A13" s="24" t="s">
        <v>372</v>
      </c>
    </row>
    <row r="14" spans="1:1" x14ac:dyDescent="0.2">
      <c r="A14" s="24" t="s">
        <v>373</v>
      </c>
    </row>
    <row r="15" spans="1:1" ht="31.5" x14ac:dyDescent="0.2">
      <c r="A15" s="24" t="s">
        <v>374</v>
      </c>
    </row>
    <row r="16" spans="1:1" x14ac:dyDescent="0.2">
      <c r="A16" s="24" t="s">
        <v>375</v>
      </c>
    </row>
    <row r="17" spans="1:1" x14ac:dyDescent="0.2">
      <c r="A17" s="24" t="s">
        <v>376</v>
      </c>
    </row>
    <row r="18" spans="1:1" x14ac:dyDescent="0.2">
      <c r="A18" s="24" t="s">
        <v>377</v>
      </c>
    </row>
    <row r="19" spans="1:1" x14ac:dyDescent="0.2">
      <c r="A19" s="24" t="s">
        <v>378</v>
      </c>
    </row>
    <row r="21" spans="1:1" x14ac:dyDescent="0.2">
      <c r="A21" s="433" t="s">
        <v>359</v>
      </c>
    </row>
    <row r="22" spans="1:1" x14ac:dyDescent="0.2">
      <c r="A22" s="24" t="s">
        <v>360</v>
      </c>
    </row>
    <row r="23" spans="1:1" x14ac:dyDescent="0.2">
      <c r="A23" s="24" t="s">
        <v>361</v>
      </c>
    </row>
    <row r="24" spans="1:1" x14ac:dyDescent="0.2">
      <c r="A24" s="24" t="s">
        <v>362</v>
      </c>
    </row>
    <row r="25" spans="1:1" x14ac:dyDescent="0.2">
      <c r="A25" s="24" t="s">
        <v>363</v>
      </c>
    </row>
    <row r="26" spans="1:1" x14ac:dyDescent="0.2">
      <c r="A26" s="24" t="s">
        <v>705</v>
      </c>
    </row>
    <row r="28" spans="1:1" x14ac:dyDescent="0.25">
      <c r="A28" s="536" t="s">
        <v>706</v>
      </c>
    </row>
    <row r="29" spans="1:1" x14ac:dyDescent="0.2">
      <c r="A29" s="24" t="s">
        <v>707</v>
      </c>
    </row>
    <row r="30" spans="1:1" ht="31.5" x14ac:dyDescent="0.2">
      <c r="A30" s="24" t="s">
        <v>708</v>
      </c>
    </row>
    <row r="31" spans="1:1" x14ac:dyDescent="0.2">
      <c r="A31" s="24" t="s">
        <v>709</v>
      </c>
    </row>
    <row r="32" spans="1:1" x14ac:dyDescent="0.2">
      <c r="A32" s="24" t="s">
        <v>710</v>
      </c>
    </row>
    <row r="33" spans="1:1" x14ac:dyDescent="0.2">
      <c r="A33" s="24" t="s">
        <v>711</v>
      </c>
    </row>
    <row r="36" spans="1:1" x14ac:dyDescent="0.25">
      <c r="A36" s="536" t="s">
        <v>712</v>
      </c>
    </row>
    <row r="37" spans="1:1" x14ac:dyDescent="0.2">
      <c r="A37" s="24" t="s">
        <v>713</v>
      </c>
    </row>
    <row r="38" spans="1:1" x14ac:dyDescent="0.2">
      <c r="A38" s="24" t="s">
        <v>714</v>
      </c>
    </row>
    <row r="39" spans="1:1" x14ac:dyDescent="0.2">
      <c r="A39" s="24" t="s">
        <v>715</v>
      </c>
    </row>
    <row r="40" spans="1:1" x14ac:dyDescent="0.2">
      <c r="A40" s="24" t="s">
        <v>716</v>
      </c>
    </row>
    <row r="41" spans="1:1" x14ac:dyDescent="0.2">
      <c r="A41" s="24" t="s">
        <v>717</v>
      </c>
    </row>
    <row r="42" spans="1:1" x14ac:dyDescent="0.2">
      <c r="A42" s="24" t="s">
        <v>718</v>
      </c>
    </row>
    <row r="44" spans="1:1" x14ac:dyDescent="0.25">
      <c r="A44" s="536" t="s">
        <v>719</v>
      </c>
    </row>
    <row r="45" spans="1:1" x14ac:dyDescent="0.2">
      <c r="A45" s="24" t="s">
        <v>720</v>
      </c>
    </row>
    <row r="46" spans="1:1" x14ac:dyDescent="0.2">
      <c r="A46" s="24" t="s">
        <v>721</v>
      </c>
    </row>
    <row r="47" spans="1:1" x14ac:dyDescent="0.2">
      <c r="A47" s="24" t="s">
        <v>722</v>
      </c>
    </row>
    <row r="48" spans="1:1" x14ac:dyDescent="0.2">
      <c r="A48" s="24" t="s">
        <v>723</v>
      </c>
    </row>
    <row r="49" spans="1:1" x14ac:dyDescent="0.2">
      <c r="A49" s="24" t="s">
        <v>724</v>
      </c>
    </row>
    <row r="50" spans="1:1" x14ac:dyDescent="0.2">
      <c r="A50" s="24" t="s">
        <v>725</v>
      </c>
    </row>
    <row r="51" spans="1:1" x14ac:dyDescent="0.2">
      <c r="A51" s="24" t="s">
        <v>726</v>
      </c>
    </row>
    <row r="52" spans="1:1" x14ac:dyDescent="0.2">
      <c r="A52" s="24" t="s">
        <v>727</v>
      </c>
    </row>
    <row r="54" spans="1:1" x14ac:dyDescent="0.25">
      <c r="A54" s="536" t="s">
        <v>728</v>
      </c>
    </row>
    <row r="55" spans="1:1" x14ac:dyDescent="0.2">
      <c r="A55" s="537" t="s">
        <v>729</v>
      </c>
    </row>
    <row r="56" spans="1:1" x14ac:dyDescent="0.2">
      <c r="A56" s="537" t="s">
        <v>730</v>
      </c>
    </row>
    <row r="58" spans="1:1" x14ac:dyDescent="0.25">
      <c r="A58" s="538" t="s">
        <v>731</v>
      </c>
    </row>
    <row r="59" spans="1:1" x14ac:dyDescent="0.25">
      <c r="A59" s="337" t="s">
        <v>340</v>
      </c>
    </row>
    <row r="61" spans="1:1" x14ac:dyDescent="0.25">
      <c r="A61" s="538" t="s">
        <v>732</v>
      </c>
    </row>
    <row r="62" spans="1:1" x14ac:dyDescent="0.25">
      <c r="A62" s="337" t="s">
        <v>733</v>
      </c>
    </row>
    <row r="63" spans="1:1" x14ac:dyDescent="0.25">
      <c r="A63" s="337" t="s">
        <v>734</v>
      </c>
    </row>
    <row r="64" spans="1:1" x14ac:dyDescent="0.25">
      <c r="A64" s="337" t="s">
        <v>735</v>
      </c>
    </row>
    <row r="65" spans="1:1" x14ac:dyDescent="0.25">
      <c r="A65" s="337" t="s">
        <v>736</v>
      </c>
    </row>
    <row r="66" spans="1:1" x14ac:dyDescent="0.25">
      <c r="A66" s="337" t="s">
        <v>737</v>
      </c>
    </row>
    <row r="67" spans="1:1" x14ac:dyDescent="0.25">
      <c r="A67" s="337" t="s">
        <v>738</v>
      </c>
    </row>
    <row r="69" spans="1:1" x14ac:dyDescent="0.2">
      <c r="A69" s="539" t="s">
        <v>739</v>
      </c>
    </row>
    <row r="70" spans="1:1" x14ac:dyDescent="0.2">
      <c r="A70" s="537" t="s">
        <v>338</v>
      </c>
    </row>
    <row r="71" spans="1:1" x14ac:dyDescent="0.2">
      <c r="A71" s="24" t="s">
        <v>740</v>
      </c>
    </row>
    <row r="73" spans="1:1" x14ac:dyDescent="0.2">
      <c r="A73" s="539" t="s">
        <v>741</v>
      </c>
    </row>
    <row r="74" spans="1:1" x14ac:dyDescent="0.2">
      <c r="A74" s="537" t="s">
        <v>337</v>
      </c>
    </row>
    <row r="76" spans="1:1" x14ac:dyDescent="0.2">
      <c r="A76" s="539" t="s">
        <v>742</v>
      </c>
    </row>
    <row r="77" spans="1:1" x14ac:dyDescent="0.2">
      <c r="A77" s="537" t="s">
        <v>743</v>
      </c>
    </row>
    <row r="79" spans="1:1" x14ac:dyDescent="0.2">
      <c r="A79" s="539" t="s">
        <v>744</v>
      </c>
    </row>
    <row r="80" spans="1:1" x14ac:dyDescent="0.2">
      <c r="A80" s="537" t="s">
        <v>745</v>
      </c>
    </row>
    <row r="82" spans="1:1" x14ac:dyDescent="0.2">
      <c r="A82" s="539" t="s">
        <v>746</v>
      </c>
    </row>
    <row r="83" spans="1:1" x14ac:dyDescent="0.2">
      <c r="A83" s="537" t="s">
        <v>747</v>
      </c>
    </row>
    <row r="85" spans="1:1" x14ac:dyDescent="0.2">
      <c r="A85" s="539" t="s">
        <v>748</v>
      </c>
    </row>
    <row r="86" spans="1:1" x14ac:dyDescent="0.2">
      <c r="A86" s="537" t="s">
        <v>313</v>
      </c>
    </row>
    <row r="88" spans="1:1" x14ac:dyDescent="0.2">
      <c r="A88" s="539" t="s">
        <v>749</v>
      </c>
    </row>
    <row r="89" spans="1:1" x14ac:dyDescent="0.2">
      <c r="A89" s="453" t="s">
        <v>312</v>
      </c>
    </row>
    <row r="91" spans="1:1" x14ac:dyDescent="0.2">
      <c r="A91" s="539" t="s">
        <v>750</v>
      </c>
    </row>
    <row r="92" spans="1:1" x14ac:dyDescent="0.2">
      <c r="A92" s="24" t="s">
        <v>751</v>
      </c>
    </row>
    <row r="94" spans="1:1" x14ac:dyDescent="0.2">
      <c r="A94" s="539" t="s">
        <v>752</v>
      </c>
    </row>
    <row r="95" spans="1:1" x14ac:dyDescent="0.2">
      <c r="A95" s="24" t="s">
        <v>753</v>
      </c>
    </row>
    <row r="97" spans="1:1" x14ac:dyDescent="0.2">
      <c r="A97" s="539" t="s">
        <v>754</v>
      </c>
    </row>
    <row r="98" spans="1:1" x14ac:dyDescent="0.2">
      <c r="A98" s="24" t="s">
        <v>755</v>
      </c>
    </row>
    <row r="100" spans="1:1" x14ac:dyDescent="0.2">
      <c r="A100" s="539" t="s">
        <v>756</v>
      </c>
    </row>
    <row r="101" spans="1:1" x14ac:dyDescent="0.2">
      <c r="A101" s="540" t="s">
        <v>757</v>
      </c>
    </row>
    <row r="103" spans="1:1" x14ac:dyDescent="0.2">
      <c r="A103" s="539" t="s">
        <v>758</v>
      </c>
    </row>
    <row r="104" spans="1:1" x14ac:dyDescent="0.2">
      <c r="A104" s="24" t="s">
        <v>759</v>
      </c>
    </row>
    <row r="106" spans="1:1" x14ac:dyDescent="0.2">
      <c r="A106" s="539" t="s">
        <v>760</v>
      </c>
    </row>
    <row r="107" spans="1:1" x14ac:dyDescent="0.2">
      <c r="A107" s="24" t="s">
        <v>761</v>
      </c>
    </row>
    <row r="108" spans="1:1" x14ac:dyDescent="0.2">
      <c r="A108" s="24" t="s">
        <v>762</v>
      </c>
    </row>
    <row r="110" spans="1:1" x14ac:dyDescent="0.2">
      <c r="A110" s="539" t="s">
        <v>763</v>
      </c>
    </row>
    <row r="111" spans="1:1" x14ac:dyDescent="0.2">
      <c r="A111" s="541" t="s">
        <v>764</v>
      </c>
    </row>
    <row r="113" spans="1:1" x14ac:dyDescent="0.2">
      <c r="A113" s="539" t="s">
        <v>765</v>
      </c>
    </row>
    <row r="114" spans="1:1" x14ac:dyDescent="0.2">
      <c r="A114" s="540" t="s">
        <v>766</v>
      </c>
    </row>
    <row r="115" spans="1:1" x14ac:dyDescent="0.2">
      <c r="A115" s="24" t="s">
        <v>767</v>
      </c>
    </row>
    <row r="116" spans="1:1" x14ac:dyDescent="0.2">
      <c r="A116" s="24" t="s">
        <v>768</v>
      </c>
    </row>
    <row r="117" spans="1:1" x14ac:dyDescent="0.2">
      <c r="A117" s="24" t="s">
        <v>769</v>
      </c>
    </row>
    <row r="118" spans="1:1" x14ac:dyDescent="0.2">
      <c r="A118" s="24" t="s">
        <v>770</v>
      </c>
    </row>
    <row r="119" spans="1:1" x14ac:dyDescent="0.2">
      <c r="A119" s="24" t="s">
        <v>771</v>
      </c>
    </row>
    <row r="120" spans="1:1" x14ac:dyDescent="0.2">
      <c r="A120" s="24" t="s">
        <v>772</v>
      </c>
    </row>
    <row r="121" spans="1:1" x14ac:dyDescent="0.2">
      <c r="A121" s="24" t="s">
        <v>773</v>
      </c>
    </row>
    <row r="122" spans="1:1" ht="48.75" customHeight="1" x14ac:dyDescent="0.2">
      <c r="A122" s="24" t="s">
        <v>774</v>
      </c>
    </row>
    <row r="123" spans="1:1" x14ac:dyDescent="0.2">
      <c r="A123" s="24" t="s">
        <v>775</v>
      </c>
    </row>
    <row r="124" spans="1:1" ht="36" customHeight="1" x14ac:dyDescent="0.2">
      <c r="A124" s="24" t="s">
        <v>776</v>
      </c>
    </row>
    <row r="125" spans="1:1" x14ac:dyDescent="0.2">
      <c r="A125" s="24" t="s">
        <v>777</v>
      </c>
    </row>
    <row r="126" spans="1:1" x14ac:dyDescent="0.2">
      <c r="A126" s="24" t="s">
        <v>778</v>
      </c>
    </row>
    <row r="127" spans="1:1" x14ac:dyDescent="0.2">
      <c r="A127" s="24" t="s">
        <v>779</v>
      </c>
    </row>
    <row r="128" spans="1:1" x14ac:dyDescent="0.2">
      <c r="A128" s="24" t="s">
        <v>780</v>
      </c>
    </row>
    <row r="129" spans="1:1" x14ac:dyDescent="0.2">
      <c r="A129" s="24" t="s">
        <v>781</v>
      </c>
    </row>
    <row r="130" spans="1:1" ht="47.25" x14ac:dyDescent="0.2">
      <c r="A130" s="24" t="s">
        <v>782</v>
      </c>
    </row>
    <row r="131" spans="1:1" x14ac:dyDescent="0.2">
      <c r="A131" s="453" t="s">
        <v>783</v>
      </c>
    </row>
    <row r="132" spans="1:1" ht="31.5" x14ac:dyDescent="0.2">
      <c r="A132" s="24" t="s">
        <v>784</v>
      </c>
    </row>
    <row r="133" spans="1:1" x14ac:dyDescent="0.2">
      <c r="A133" s="24" t="s">
        <v>785</v>
      </c>
    </row>
    <row r="134" spans="1:1" x14ac:dyDescent="0.2">
      <c r="A134" s="24" t="s">
        <v>786</v>
      </c>
    </row>
    <row r="135" spans="1:1" x14ac:dyDescent="0.2">
      <c r="A135" s="24" t="s">
        <v>787</v>
      </c>
    </row>
    <row r="136" spans="1:1" x14ac:dyDescent="0.2">
      <c r="A136" s="24" t="s">
        <v>788</v>
      </c>
    </row>
    <row r="137" spans="1:1" x14ac:dyDescent="0.2">
      <c r="A137" s="24" t="s">
        <v>789</v>
      </c>
    </row>
    <row r="138" spans="1:1" ht="15.75" customHeight="1" x14ac:dyDescent="0.2">
      <c r="A138" s="24" t="s">
        <v>790</v>
      </c>
    </row>
    <row r="139" spans="1:1" x14ac:dyDescent="0.2">
      <c r="A139" s="24" t="s">
        <v>791</v>
      </c>
    </row>
    <row r="140" spans="1:1" ht="31.5" x14ac:dyDescent="0.2">
      <c r="A140" s="24" t="s">
        <v>792</v>
      </c>
    </row>
    <row r="141" spans="1:1" x14ac:dyDescent="0.2">
      <c r="A141" s="24" t="s">
        <v>793</v>
      </c>
    </row>
    <row r="142" spans="1:1" x14ac:dyDescent="0.2">
      <c r="A142" s="24" t="s">
        <v>794</v>
      </c>
    </row>
    <row r="143" spans="1:1" x14ac:dyDescent="0.2">
      <c r="A143" s="24" t="s">
        <v>795</v>
      </c>
    </row>
    <row r="144" spans="1:1" x14ac:dyDescent="0.2">
      <c r="A144" s="24" t="s">
        <v>796</v>
      </c>
    </row>
    <row r="145" spans="1:1" ht="15.75" customHeight="1" x14ac:dyDescent="0.2">
      <c r="A145" s="24" t="s">
        <v>797</v>
      </c>
    </row>
    <row r="146" spans="1:1" x14ac:dyDescent="0.2">
      <c r="A146" s="24" t="s">
        <v>798</v>
      </c>
    </row>
    <row r="147" spans="1:1" x14ac:dyDescent="0.2">
      <c r="A147" s="24" t="s">
        <v>799</v>
      </c>
    </row>
    <row r="148" spans="1:1" x14ac:dyDescent="0.2">
      <c r="A148" s="24" t="s">
        <v>800</v>
      </c>
    </row>
    <row r="150" spans="1:1" x14ac:dyDescent="0.2">
      <c r="A150" s="539" t="s">
        <v>801</v>
      </c>
    </row>
    <row r="151" spans="1:1" ht="31.5" x14ac:dyDescent="0.2">
      <c r="A151" s="24" t="s">
        <v>802</v>
      </c>
    </row>
    <row r="153" spans="1:1" x14ac:dyDescent="0.2">
      <c r="A153" s="539" t="s">
        <v>803</v>
      </c>
    </row>
    <row r="154" spans="1:1" x14ac:dyDescent="0.2">
      <c r="A154" s="24" t="s">
        <v>804</v>
      </c>
    </row>
    <row r="155" spans="1:1" ht="15.75" customHeight="1" x14ac:dyDescent="0.2">
      <c r="A155" s="24" t="s">
        <v>805</v>
      </c>
    </row>
    <row r="157" spans="1:1" x14ac:dyDescent="0.2">
      <c r="A157" s="539" t="s">
        <v>806</v>
      </c>
    </row>
    <row r="158" spans="1:1" x14ac:dyDescent="0.2">
      <c r="A158" s="24" t="s">
        <v>807</v>
      </c>
    </row>
    <row r="160" spans="1:1" ht="19.5" customHeight="1" x14ac:dyDescent="0.2">
      <c r="A160" s="539" t="s">
        <v>808</v>
      </c>
    </row>
    <row r="161" spans="1:1" x14ac:dyDescent="0.2">
      <c r="A161" s="24" t="s">
        <v>809</v>
      </c>
    </row>
    <row r="163" spans="1:1" x14ac:dyDescent="0.2">
      <c r="A163" s="539" t="s">
        <v>810</v>
      </c>
    </row>
    <row r="164" spans="1:1" x14ac:dyDescent="0.2">
      <c r="A164" s="283" t="s">
        <v>811</v>
      </c>
    </row>
    <row r="165" spans="1:1" x14ac:dyDescent="0.2">
      <c r="A165" s="283" t="s">
        <v>812</v>
      </c>
    </row>
    <row r="167" spans="1:1" x14ac:dyDescent="0.2">
      <c r="A167" s="539" t="s">
        <v>813</v>
      </c>
    </row>
    <row r="168" spans="1:1" x14ac:dyDescent="0.2">
      <c r="A168" s="24" t="s">
        <v>814</v>
      </c>
    </row>
    <row r="169" spans="1:1" x14ac:dyDescent="0.2">
      <c r="A169" s="24" t="s">
        <v>815</v>
      </c>
    </row>
    <row r="170" spans="1:1" x14ac:dyDescent="0.2">
      <c r="A170" s="24" t="s">
        <v>816</v>
      </c>
    </row>
    <row r="172" spans="1:1" x14ac:dyDescent="0.2">
      <c r="A172" s="539" t="s">
        <v>817</v>
      </c>
    </row>
    <row r="173" spans="1:1" x14ac:dyDescent="0.2">
      <c r="A173" s="283" t="s">
        <v>818</v>
      </c>
    </row>
    <row r="174" spans="1:1" x14ac:dyDescent="0.2">
      <c r="A174" s="283" t="s">
        <v>819</v>
      </c>
    </row>
    <row r="175" spans="1:1" ht="31.5" x14ac:dyDescent="0.2">
      <c r="A175" s="283" t="s">
        <v>820</v>
      </c>
    </row>
    <row r="176" spans="1:1" x14ac:dyDescent="0.2">
      <c r="A176" s="283" t="s">
        <v>821</v>
      </c>
    </row>
    <row r="177" spans="1:1" x14ac:dyDescent="0.2">
      <c r="A177" s="283" t="s">
        <v>822</v>
      </c>
    </row>
    <row r="178" spans="1:1" x14ac:dyDescent="0.2">
      <c r="A178" s="283" t="s">
        <v>823</v>
      </c>
    </row>
    <row r="179" spans="1:1" x14ac:dyDescent="0.2">
      <c r="A179" s="283" t="s">
        <v>824</v>
      </c>
    </row>
    <row r="180" spans="1:1" x14ac:dyDescent="0.2">
      <c r="A180" s="283" t="s">
        <v>825</v>
      </c>
    </row>
    <row r="181" spans="1:1" x14ac:dyDescent="0.2">
      <c r="A181" s="283" t="s">
        <v>826</v>
      </c>
    </row>
    <row r="182" spans="1:1" x14ac:dyDescent="0.2">
      <c r="A182" s="283" t="s">
        <v>827</v>
      </c>
    </row>
    <row r="183" spans="1:1" x14ac:dyDescent="0.2">
      <c r="A183" s="283" t="s">
        <v>828</v>
      </c>
    </row>
    <row r="184" spans="1:1" x14ac:dyDescent="0.2">
      <c r="A184" s="283" t="s">
        <v>829</v>
      </c>
    </row>
    <row r="185" spans="1:1" x14ac:dyDescent="0.2">
      <c r="A185" s="283" t="s">
        <v>830</v>
      </c>
    </row>
    <row r="186" spans="1:1" x14ac:dyDescent="0.2">
      <c r="A186" s="283" t="s">
        <v>831</v>
      </c>
    </row>
    <row r="187" spans="1:1" x14ac:dyDescent="0.2">
      <c r="A187" s="283" t="s">
        <v>832</v>
      </c>
    </row>
    <row r="188" spans="1:1" x14ac:dyDescent="0.2">
      <c r="A188" s="283" t="s">
        <v>833</v>
      </c>
    </row>
    <row r="189" spans="1:1" x14ac:dyDescent="0.2">
      <c r="A189" s="283" t="s">
        <v>834</v>
      </c>
    </row>
    <row r="190" spans="1:1" ht="18" customHeight="1" x14ac:dyDescent="0.2">
      <c r="A190" s="283" t="s">
        <v>835</v>
      </c>
    </row>
    <row r="191" spans="1:1" x14ac:dyDescent="0.2">
      <c r="A191" s="283" t="s">
        <v>836</v>
      </c>
    </row>
    <row r="192" spans="1:1" x14ac:dyDescent="0.2">
      <c r="A192" s="283" t="s">
        <v>837</v>
      </c>
    </row>
    <row r="193" spans="1:1" x14ac:dyDescent="0.2">
      <c r="A193" s="283" t="s">
        <v>838</v>
      </c>
    </row>
    <row r="194" spans="1:1" x14ac:dyDescent="0.2">
      <c r="A194" s="283" t="s">
        <v>839</v>
      </c>
    </row>
    <row r="195" spans="1:1" ht="16.5" customHeight="1" x14ac:dyDescent="0.2">
      <c r="A195" s="283" t="s">
        <v>840</v>
      </c>
    </row>
    <row r="196" spans="1:1" x14ac:dyDescent="0.2">
      <c r="A196" s="283" t="s">
        <v>841</v>
      </c>
    </row>
    <row r="197" spans="1:1" x14ac:dyDescent="0.2">
      <c r="A197" s="283" t="s">
        <v>842</v>
      </c>
    </row>
    <row r="198" spans="1:1" x14ac:dyDescent="0.2">
      <c r="A198" s="283" t="s">
        <v>843</v>
      </c>
    </row>
    <row r="199" spans="1:1" x14ac:dyDescent="0.2">
      <c r="A199" s="283" t="s">
        <v>844</v>
      </c>
    </row>
    <row r="200" spans="1:1" x14ac:dyDescent="0.2">
      <c r="A200" s="283" t="s">
        <v>845</v>
      </c>
    </row>
    <row r="202" spans="1:1" x14ac:dyDescent="0.2">
      <c r="A202" s="539" t="s">
        <v>846</v>
      </c>
    </row>
    <row r="203" spans="1:1" x14ac:dyDescent="0.2">
      <c r="A203" s="24" t="s">
        <v>847</v>
      </c>
    </row>
    <row r="204" spans="1:1" x14ac:dyDescent="0.2">
      <c r="A204" s="24" t="s">
        <v>848</v>
      </c>
    </row>
    <row r="205" spans="1:1" ht="17.25" customHeight="1" x14ac:dyDescent="0.2">
      <c r="A205" s="24" t="s">
        <v>849</v>
      </c>
    </row>
    <row r="207" spans="1:1" x14ac:dyDescent="0.2">
      <c r="A207" s="539" t="s">
        <v>850</v>
      </c>
    </row>
    <row r="208" spans="1:1" x14ac:dyDescent="0.2">
      <c r="A208" s="24" t="s">
        <v>851</v>
      </c>
    </row>
    <row r="209" spans="1:1" x14ac:dyDescent="0.2">
      <c r="A209" s="24" t="s">
        <v>852</v>
      </c>
    </row>
    <row r="211" spans="1:1" ht="21.75" customHeight="1" x14ac:dyDescent="0.2">
      <c r="A211" s="539" t="s">
        <v>853</v>
      </c>
    </row>
    <row r="212" spans="1:1" x14ac:dyDescent="0.2">
      <c r="A212" s="542" t="s">
        <v>854</v>
      </c>
    </row>
    <row r="213" spans="1:1" ht="16.5" customHeight="1" x14ac:dyDescent="0.2">
      <c r="A213" s="542" t="s">
        <v>855</v>
      </c>
    </row>
    <row r="214" spans="1:1" x14ac:dyDescent="0.2">
      <c r="A214" s="542" t="s">
        <v>856</v>
      </c>
    </row>
    <row r="215" spans="1:1" x14ac:dyDescent="0.2">
      <c r="A215" s="24" t="s">
        <v>857</v>
      </c>
    </row>
    <row r="217" spans="1:1" x14ac:dyDescent="0.2">
      <c r="A217" s="433" t="s">
        <v>858</v>
      </c>
    </row>
    <row r="218" spans="1:1" x14ac:dyDescent="0.2">
      <c r="A218" s="543" t="s">
        <v>859</v>
      </c>
    </row>
    <row r="219" spans="1:1" x14ac:dyDescent="0.2">
      <c r="A219" s="24" t="s">
        <v>860</v>
      </c>
    </row>
    <row r="220" spans="1:1" x14ac:dyDescent="0.2">
      <c r="A220" s="24" t="s">
        <v>861</v>
      </c>
    </row>
    <row r="221" spans="1:1" ht="31.5" x14ac:dyDescent="0.2">
      <c r="A221" s="544" t="s">
        <v>862</v>
      </c>
    </row>
    <row r="222" spans="1:1" ht="16.5" customHeight="1" x14ac:dyDescent="0.2">
      <c r="A222" s="24" t="s">
        <v>863</v>
      </c>
    </row>
    <row r="223" spans="1:1" x14ac:dyDescent="0.2">
      <c r="A223" s="24" t="s">
        <v>864</v>
      </c>
    </row>
    <row r="224" spans="1:1" x14ac:dyDescent="0.2">
      <c r="A224" s="24" t="s">
        <v>865</v>
      </c>
    </row>
    <row r="225" spans="1:1" x14ac:dyDescent="0.2">
      <c r="A225" s="24" t="s">
        <v>866</v>
      </c>
    </row>
    <row r="226" spans="1:1" x14ac:dyDescent="0.2">
      <c r="A226" s="24" t="s">
        <v>867</v>
      </c>
    </row>
    <row r="228" spans="1:1" x14ac:dyDescent="0.2">
      <c r="A228" s="433" t="s">
        <v>868</v>
      </c>
    </row>
    <row r="229" spans="1:1" x14ac:dyDescent="0.2">
      <c r="A229" s="24" t="s">
        <v>869</v>
      </c>
    </row>
    <row r="230" spans="1:1" x14ac:dyDescent="0.2">
      <c r="A230" s="24" t="s">
        <v>870</v>
      </c>
    </row>
    <row r="231" spans="1:1" x14ac:dyDescent="0.2">
      <c r="A231" s="24" t="s">
        <v>871</v>
      </c>
    </row>
    <row r="232" spans="1:1" x14ac:dyDescent="0.2">
      <c r="A232" s="24" t="s">
        <v>872</v>
      </c>
    </row>
    <row r="234" spans="1:1" x14ac:dyDescent="0.2">
      <c r="A234" s="433" t="s">
        <v>873</v>
      </c>
    </row>
    <row r="235" spans="1:1" x14ac:dyDescent="0.2">
      <c r="A235" s="24" t="s">
        <v>874</v>
      </c>
    </row>
    <row r="237" spans="1:1" x14ac:dyDescent="0.2">
      <c r="A237" s="433" t="s">
        <v>875</v>
      </c>
    </row>
    <row r="238" spans="1:1" x14ac:dyDescent="0.2">
      <c r="A238" s="24" t="s">
        <v>876</v>
      </c>
    </row>
    <row r="239" spans="1:1" ht="32.25" customHeight="1" x14ac:dyDescent="0.2"/>
    <row r="240" spans="1:1" ht="36" customHeight="1" x14ac:dyDescent="0.2">
      <c r="A240" s="433" t="s">
        <v>877</v>
      </c>
    </row>
    <row r="241" spans="1:1" ht="35.25" customHeight="1" x14ac:dyDescent="0.2">
      <c r="A241" s="24" t="s">
        <v>878</v>
      </c>
    </row>
    <row r="242" spans="1:1" ht="18" customHeight="1" x14ac:dyDescent="0.2">
      <c r="A242" s="24" t="s">
        <v>879</v>
      </c>
    </row>
    <row r="243" spans="1:1" ht="36" customHeight="1" x14ac:dyDescent="0.2">
      <c r="A243" s="24" t="s">
        <v>880</v>
      </c>
    </row>
    <row r="245" spans="1:1" ht="33.75" customHeight="1" x14ac:dyDescent="0.2">
      <c r="A245" s="433" t="s">
        <v>881</v>
      </c>
    </row>
    <row r="246" spans="1:1" ht="18.75" customHeight="1" x14ac:dyDescent="0.2">
      <c r="A246" s="24" t="s">
        <v>44</v>
      </c>
    </row>
    <row r="247" spans="1:1" ht="17.25" customHeight="1" x14ac:dyDescent="0.2">
      <c r="A247" s="24" t="s">
        <v>882</v>
      </c>
    </row>
    <row r="248" spans="1:1" ht="17.25" customHeight="1" x14ac:dyDescent="0.2">
      <c r="A248" s="24" t="s">
        <v>883</v>
      </c>
    </row>
    <row r="249" spans="1:1" x14ac:dyDescent="0.2">
      <c r="A249" s="24" t="s">
        <v>379</v>
      </c>
    </row>
    <row r="250" spans="1:1" x14ac:dyDescent="0.2">
      <c r="A250" s="24" t="s">
        <v>45</v>
      </c>
    </row>
    <row r="251" spans="1:1" x14ac:dyDescent="0.2">
      <c r="A251" s="24" t="s">
        <v>46</v>
      </c>
    </row>
    <row r="252" spans="1:1" ht="31.5" x14ac:dyDescent="0.2">
      <c r="A252" s="24" t="s">
        <v>47</v>
      </c>
    </row>
    <row r="253" spans="1:1" ht="31.5" x14ac:dyDescent="0.2">
      <c r="A253" s="24" t="s">
        <v>884</v>
      </c>
    </row>
    <row r="254" spans="1:1" ht="14.25" customHeight="1" x14ac:dyDescent="0.2">
      <c r="A254" s="24" t="s">
        <v>380</v>
      </c>
    </row>
    <row r="255" spans="1:1" x14ac:dyDescent="0.2">
      <c r="A255" s="24" t="s">
        <v>48</v>
      </c>
    </row>
    <row r="256" spans="1:1" ht="31.5" x14ac:dyDescent="0.2">
      <c r="A256" s="24" t="s">
        <v>885</v>
      </c>
    </row>
    <row r="257" spans="1:1" x14ac:dyDescent="0.2">
      <c r="A257" s="24" t="s">
        <v>886</v>
      </c>
    </row>
    <row r="258" spans="1:1" ht="31.5" x14ac:dyDescent="0.2">
      <c r="A258" s="24" t="s">
        <v>381</v>
      </c>
    </row>
    <row r="259" spans="1:1" x14ac:dyDescent="0.2">
      <c r="A259" s="24" t="s">
        <v>382</v>
      </c>
    </row>
    <row r="260" spans="1:1" x14ac:dyDescent="0.2">
      <c r="A260" s="24" t="s">
        <v>49</v>
      </c>
    </row>
    <row r="261" spans="1:1" x14ac:dyDescent="0.2">
      <c r="A261" s="24" t="s">
        <v>50</v>
      </c>
    </row>
    <row r="262" spans="1:1" x14ac:dyDescent="0.2">
      <c r="A262" s="24" t="s">
        <v>887</v>
      </c>
    </row>
    <row r="263" spans="1:1" ht="18" customHeight="1" x14ac:dyDescent="0.2">
      <c r="A263" s="24" t="s">
        <v>888</v>
      </c>
    </row>
    <row r="264" spans="1:1" ht="51" customHeight="1" x14ac:dyDescent="0.2">
      <c r="A264" s="24" t="s">
        <v>889</v>
      </c>
    </row>
    <row r="266" spans="1:1" x14ac:dyDescent="0.2">
      <c r="A266" s="433" t="s">
        <v>890</v>
      </c>
    </row>
    <row r="267" spans="1:1" x14ac:dyDescent="0.2">
      <c r="A267" s="24" t="s">
        <v>891</v>
      </c>
    </row>
    <row r="268" spans="1:1" x14ac:dyDescent="0.2">
      <c r="A268" s="24" t="s">
        <v>892</v>
      </c>
    </row>
    <row r="269" spans="1:1" x14ac:dyDescent="0.2">
      <c r="A269" s="24" t="s">
        <v>893</v>
      </c>
    </row>
    <row r="270" spans="1:1" x14ac:dyDescent="0.2">
      <c r="A270" s="24" t="s">
        <v>894</v>
      </c>
    </row>
    <row r="271" spans="1:1" x14ac:dyDescent="0.2">
      <c r="A271" s="433" t="s">
        <v>895</v>
      </c>
    </row>
    <row r="272" spans="1:1" ht="31.5" x14ac:dyDescent="0.2">
      <c r="A272" s="24" t="s">
        <v>896</v>
      </c>
    </row>
    <row r="273" spans="1:1" x14ac:dyDescent="0.2">
      <c r="A273" s="24" t="s">
        <v>897</v>
      </c>
    </row>
    <row r="276" spans="1:1" x14ac:dyDescent="0.2">
      <c r="A276" s="433" t="s">
        <v>30</v>
      </c>
    </row>
    <row r="277" spans="1:1" ht="47.25" x14ac:dyDescent="0.2">
      <c r="A277" s="24" t="s">
        <v>898</v>
      </c>
    </row>
    <row r="278" spans="1:1" x14ac:dyDescent="0.2">
      <c r="A278" s="24" t="s">
        <v>899</v>
      </c>
    </row>
    <row r="279" spans="1:1" x14ac:dyDescent="0.2">
      <c r="A279" s="24" t="s">
        <v>900</v>
      </c>
    </row>
    <row r="280" spans="1:1" x14ac:dyDescent="0.2">
      <c r="A280" s="24" t="s">
        <v>901</v>
      </c>
    </row>
    <row r="281" spans="1:1" x14ac:dyDescent="0.2">
      <c r="A281" s="24" t="s">
        <v>902</v>
      </c>
    </row>
    <row r="282" spans="1:1" x14ac:dyDescent="0.2">
      <c r="A282" s="24" t="s">
        <v>903</v>
      </c>
    </row>
    <row r="283" spans="1:1" x14ac:dyDescent="0.2">
      <c r="A283" s="24" t="s">
        <v>904</v>
      </c>
    </row>
    <row r="284" spans="1:1" x14ac:dyDescent="0.2">
      <c r="A284" s="24" t="s">
        <v>905</v>
      </c>
    </row>
    <row r="285" spans="1:1" x14ac:dyDescent="0.2">
      <c r="A285" s="24" t="s">
        <v>906</v>
      </c>
    </row>
    <row r="286" spans="1:1" ht="31.5" x14ac:dyDescent="0.2">
      <c r="A286" s="24" t="s">
        <v>907</v>
      </c>
    </row>
    <row r="287" spans="1:1" ht="31.5" x14ac:dyDescent="0.2">
      <c r="A287" s="24" t="s">
        <v>908</v>
      </c>
    </row>
    <row r="288" spans="1:1" x14ac:dyDescent="0.2">
      <c r="A288" s="24" t="s">
        <v>909</v>
      </c>
    </row>
    <row r="289" spans="1:1" x14ac:dyDescent="0.2">
      <c r="A289" s="24" t="s">
        <v>910</v>
      </c>
    </row>
    <row r="290" spans="1:1" x14ac:dyDescent="0.2">
      <c r="A290" s="24" t="s">
        <v>911</v>
      </c>
    </row>
    <row r="291" spans="1:1" x14ac:dyDescent="0.2">
      <c r="A291" s="24" t="s">
        <v>912</v>
      </c>
    </row>
    <row r="292" spans="1:1" x14ac:dyDescent="0.2">
      <c r="A292" s="24" t="s">
        <v>913</v>
      </c>
    </row>
    <row r="293" spans="1:1" ht="31.5" x14ac:dyDescent="0.2">
      <c r="A293" s="24" t="s">
        <v>914</v>
      </c>
    </row>
    <row r="294" spans="1:1" x14ac:dyDescent="0.2">
      <c r="A294" s="24" t="s">
        <v>915</v>
      </c>
    </row>
    <row r="295" spans="1:1" x14ac:dyDescent="0.2">
      <c r="A295" s="24" t="s">
        <v>916</v>
      </c>
    </row>
    <row r="296" spans="1:1" ht="31.5" x14ac:dyDescent="0.2">
      <c r="A296" s="24" t="s">
        <v>917</v>
      </c>
    </row>
    <row r="297" spans="1:1" x14ac:dyDescent="0.2">
      <c r="A297" s="24" t="s">
        <v>918</v>
      </c>
    </row>
    <row r="298" spans="1:1" x14ac:dyDescent="0.2">
      <c r="A298" s="24" t="s">
        <v>919</v>
      </c>
    </row>
    <row r="299" spans="1:1" x14ac:dyDescent="0.2">
      <c r="A299" s="24" t="s">
        <v>920</v>
      </c>
    </row>
    <row r="300" spans="1:1" ht="19.5" customHeight="1" x14ac:dyDescent="0.2">
      <c r="A300" s="24" t="s">
        <v>921</v>
      </c>
    </row>
    <row r="301" spans="1:1" ht="18" customHeight="1" x14ac:dyDescent="0.2">
      <c r="A301" s="24" t="s">
        <v>922</v>
      </c>
    </row>
    <row r="302" spans="1:1" x14ac:dyDescent="0.2">
      <c r="A302" s="24" t="s">
        <v>923</v>
      </c>
    </row>
    <row r="303" spans="1:1" x14ac:dyDescent="0.2">
      <c r="A303" s="24" t="s">
        <v>924</v>
      </c>
    </row>
    <row r="304" spans="1:1" x14ac:dyDescent="0.2">
      <c r="A304" s="24" t="s">
        <v>925</v>
      </c>
    </row>
    <row r="305" spans="1:1" x14ac:dyDescent="0.2">
      <c r="A305" s="24" t="s">
        <v>926</v>
      </c>
    </row>
    <row r="306" spans="1:1" ht="31.5" x14ac:dyDescent="0.2">
      <c r="A306" s="24" t="s">
        <v>927</v>
      </c>
    </row>
    <row r="307" spans="1:1" x14ac:dyDescent="0.2">
      <c r="A307" s="24" t="s">
        <v>928</v>
      </c>
    </row>
    <row r="309" spans="1:1" x14ac:dyDescent="0.2">
      <c r="A309" s="24" t="s">
        <v>929</v>
      </c>
    </row>
    <row r="310" spans="1:1" x14ac:dyDescent="0.2">
      <c r="A310" s="24" t="s">
        <v>930</v>
      </c>
    </row>
  </sheetData>
  <sheetProtection sheet="1" objects="1" scenarios="1"/>
  <pageMargins left="0.32" right="0.31"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G83"/>
  <sheetViews>
    <sheetView zoomScaleNormal="100" workbookViewId="0"/>
  </sheetViews>
  <sheetFormatPr defaultRowHeight="15.75" x14ac:dyDescent="0.2"/>
  <cols>
    <col min="1" max="1" width="20.77734375" style="23" customWidth="1"/>
    <col min="2" max="2" width="9.77734375" style="23" customWidth="1"/>
    <col min="3" max="3" width="5.77734375" style="23" customWidth="1"/>
    <col min="4" max="5" width="15.77734375" style="23" customWidth="1"/>
    <col min="6" max="6" width="15.44140625" style="23" customWidth="1"/>
    <col min="7" max="16384" width="8.88671875" style="74"/>
  </cols>
  <sheetData>
    <row r="1" spans="1:6" x14ac:dyDescent="0.2">
      <c r="A1" s="26" t="str">
        <f>inputPrYr!C3</f>
        <v>Doniphan County</v>
      </c>
      <c r="B1" s="26"/>
      <c r="C1" s="26"/>
      <c r="D1" s="26"/>
      <c r="E1" s="26"/>
      <c r="F1" s="26">
        <f>inputPrYr!C5</f>
        <v>2024</v>
      </c>
    </row>
    <row r="2" spans="1:6" x14ac:dyDescent="0.2">
      <c r="A2" s="597" t="s">
        <v>164</v>
      </c>
      <c r="B2" s="597"/>
      <c r="C2" s="597"/>
      <c r="D2" s="597"/>
      <c r="E2" s="597"/>
      <c r="F2" s="597"/>
    </row>
    <row r="3" spans="1:6" ht="15" customHeight="1" x14ac:dyDescent="0.2">
      <c r="A3" s="26"/>
      <c r="B3" s="26"/>
      <c r="C3" s="26"/>
      <c r="D3" s="26"/>
      <c r="E3" s="26"/>
      <c r="F3" s="155"/>
    </row>
    <row r="4" spans="1:6" x14ac:dyDescent="0.2">
      <c r="A4" s="600" t="str">
        <f>CONCATENATE("To the Clerk of ",inputPrYr!C3,", State of Kansas")</f>
        <v>To the Clerk of Doniphan County, State of Kansas</v>
      </c>
      <c r="B4" s="601"/>
      <c r="C4" s="601"/>
      <c r="D4" s="601"/>
      <c r="E4" s="601"/>
      <c r="F4" s="601"/>
    </row>
    <row r="5" spans="1:6" x14ac:dyDescent="0.2">
      <c r="A5" s="600" t="s">
        <v>5</v>
      </c>
      <c r="B5" s="602"/>
      <c r="C5" s="602"/>
      <c r="D5" s="602"/>
      <c r="E5" s="602"/>
      <c r="F5" s="602"/>
    </row>
    <row r="6" spans="1:6" x14ac:dyDescent="0.2">
      <c r="A6" s="598" t="str">
        <f>(inputPrYr!C3)</f>
        <v>Doniphan County</v>
      </c>
      <c r="B6" s="599"/>
      <c r="C6" s="599"/>
      <c r="D6" s="599"/>
      <c r="E6" s="599"/>
      <c r="F6" s="599"/>
    </row>
    <row r="7" spans="1:6" x14ac:dyDescent="0.2">
      <c r="A7" s="79" t="s">
        <v>57</v>
      </c>
      <c r="B7" s="30"/>
      <c r="C7" s="30"/>
      <c r="D7" s="30"/>
      <c r="E7" s="30"/>
      <c r="F7" s="30"/>
    </row>
    <row r="8" spans="1:6" x14ac:dyDescent="0.2">
      <c r="A8" s="79" t="s">
        <v>58</v>
      </c>
      <c r="B8" s="30"/>
      <c r="C8" s="30"/>
      <c r="D8" s="30"/>
      <c r="E8" s="30"/>
      <c r="F8" s="30"/>
    </row>
    <row r="9" spans="1:6" x14ac:dyDescent="0.2">
      <c r="A9" s="79" t="str">
        <f>CONCATENATE("maximum expenditure for the various funds for the year ",F1,"; and")</f>
        <v>maximum expenditure for the various funds for the year 2024; and</v>
      </c>
      <c r="B9" s="30"/>
      <c r="C9" s="30"/>
      <c r="D9" s="30"/>
      <c r="E9" s="30"/>
      <c r="F9" s="30"/>
    </row>
    <row r="10" spans="1:6" x14ac:dyDescent="0.2">
      <c r="A10" s="79" t="str">
        <f>CONCATENATE("(3) the Amount(s) of ",F1-1," Ad Valorem Tax are within statutory limitations.")</f>
        <v>(3) the Amount(s) of 2023 Ad Valorem Tax are within statutory limitations.</v>
      </c>
      <c r="B10" s="30"/>
      <c r="C10" s="30"/>
      <c r="D10" s="30"/>
      <c r="E10" s="30"/>
      <c r="F10" s="30"/>
    </row>
    <row r="11" spans="1:6" ht="8.25" customHeight="1" x14ac:dyDescent="0.2">
      <c r="A11" s="25"/>
      <c r="B11" s="26"/>
      <c r="C11" s="26"/>
      <c r="D11" s="155"/>
      <c r="E11" s="155"/>
      <c r="F11" s="155"/>
    </row>
    <row r="12" spans="1:6" ht="17.25" customHeight="1" x14ac:dyDescent="0.2">
      <c r="A12" s="26"/>
      <c r="B12" s="26"/>
      <c r="C12" s="26"/>
      <c r="D12" s="590" t="str">
        <f>CONCATENATE("",F1," Adopted Budget")</f>
        <v>2024 Adopted Budget</v>
      </c>
      <c r="E12" s="591"/>
      <c r="F12" s="592"/>
    </row>
    <row r="13" spans="1:6" ht="24.95" customHeight="1" x14ac:dyDescent="0.2">
      <c r="A13" s="26"/>
      <c r="B13" s="26"/>
      <c r="C13" s="595" t="s">
        <v>133</v>
      </c>
      <c r="D13" s="593" t="s">
        <v>523</v>
      </c>
      <c r="E13" s="595" t="str">
        <f>CONCATENATE("Amount of ",F1-1," Ad Valorem Tax")</f>
        <v>Amount of 2023 Ad Valorem Tax</v>
      </c>
      <c r="F13" s="595" t="s">
        <v>524</v>
      </c>
    </row>
    <row r="14" spans="1:6" ht="24.95" customHeight="1" x14ac:dyDescent="0.2">
      <c r="A14" s="81" t="s">
        <v>59</v>
      </c>
      <c r="B14" s="44"/>
      <c r="C14" s="596"/>
      <c r="D14" s="594"/>
      <c r="E14" s="569"/>
      <c r="F14" s="596"/>
    </row>
    <row r="15" spans="1:6" ht="12.75" customHeight="1" x14ac:dyDescent="0.2">
      <c r="A15" s="60" t="s">
        <v>309</v>
      </c>
      <c r="B15" s="45"/>
      <c r="C15" s="486">
        <v>2</v>
      </c>
      <c r="D15" s="472"/>
      <c r="E15" s="472"/>
      <c r="F15" s="472"/>
    </row>
    <row r="16" spans="1:6" x14ac:dyDescent="0.2">
      <c r="A16" s="164" t="s">
        <v>186</v>
      </c>
      <c r="B16" s="47"/>
      <c r="C16" s="486">
        <v>3</v>
      </c>
      <c r="D16" s="472"/>
      <c r="E16" s="472"/>
      <c r="F16" s="472"/>
    </row>
    <row r="17" spans="1:7" x14ac:dyDescent="0.2">
      <c r="A17" s="60" t="s">
        <v>61</v>
      </c>
      <c r="B17" s="45"/>
      <c r="C17" s="78">
        <v>4</v>
      </c>
      <c r="D17" s="487"/>
      <c r="E17" s="487"/>
      <c r="F17" s="487"/>
    </row>
    <row r="18" spans="1:7" x14ac:dyDescent="0.2">
      <c r="A18" s="60" t="s">
        <v>62</v>
      </c>
      <c r="B18" s="45"/>
      <c r="C18" s="428">
        <v>5</v>
      </c>
      <c r="D18" s="487"/>
      <c r="E18" s="487"/>
      <c r="F18" s="487"/>
    </row>
    <row r="19" spans="1:7" x14ac:dyDescent="0.2">
      <c r="A19" s="488" t="s">
        <v>63</v>
      </c>
      <c r="B19" s="489" t="s">
        <v>64</v>
      </c>
      <c r="C19" s="38"/>
      <c r="D19" s="490"/>
      <c r="E19" s="490"/>
      <c r="F19" s="490"/>
    </row>
    <row r="20" spans="1:7" ht="15.75" customHeight="1" x14ac:dyDescent="0.2">
      <c r="A20" s="34" t="str">
        <f>inputPrYr!B17</f>
        <v>General</v>
      </c>
      <c r="B20" s="427" t="str">
        <f>inputPrYr!C17</f>
        <v>79-1946</v>
      </c>
      <c r="C20" s="78">
        <v>6</v>
      </c>
      <c r="D20" s="491">
        <f>IF(General!$E$59&lt;&gt;0,General!$E$59,"  ")</f>
        <v>3573980</v>
      </c>
      <c r="E20" s="492">
        <f>IF(General!$E$66&lt;&gt;0,General!$E$66,0)</f>
        <v>1690482.5762</v>
      </c>
      <c r="F20" s="336" t="str">
        <f>IF(AND(General!E66=0,F60&gt;=0),"",IF(AND(E20&gt;0,F60=0),"",IF(AND(E20&gt;0,F60&gt;0),ROUND(E20/F60*1000,3))))</f>
        <v/>
      </c>
    </row>
    <row r="21" spans="1:7" ht="15.75" customHeight="1" x14ac:dyDescent="0.2">
      <c r="A21" s="34" t="str">
        <f>inputPrYr!B18</f>
        <v>Debt Service</v>
      </c>
      <c r="B21" s="427" t="str">
        <f>inputPrYr!C18</f>
        <v>10-113</v>
      </c>
      <c r="C21" s="78" t="str">
        <f>IF('Debt Service'!C65&gt;0,'Debt Service'!C65,"")</f>
        <v/>
      </c>
      <c r="D21" s="491" t="str">
        <f>IF('Debt Service'!$E$52&lt;&gt;0,'Debt Service'!$E$52,"  ")</f>
        <v xml:space="preserve">  </v>
      </c>
      <c r="E21" s="492">
        <f>IF('Debt Service'!$E$59&lt;&gt;0,'Debt Service'!$E$59,0)</f>
        <v>0</v>
      </c>
      <c r="F21" s="336" t="str">
        <f>IF(AND('Debt Service'!E59=0,F60&gt;=0),"",IF(AND(E21&gt;0,F60=0),"",IF(AND(E21&gt;F60&gt;0),ROUND(E21/F60*1000,3))))</f>
        <v/>
      </c>
    </row>
    <row r="22" spans="1:7" ht="15.75" customHeight="1" x14ac:dyDescent="0.2">
      <c r="A22" s="34" t="str">
        <f>inputPrYr!B19</f>
        <v>Road &amp; Bridge</v>
      </c>
      <c r="B22" s="427" t="str">
        <f>inputPrYr!C19</f>
        <v>68-5,101</v>
      </c>
      <c r="C22" s="78">
        <f>IF('Road &amp; Bridge'!C29&gt;0,'Road &amp; Bridge'!C29,"")</f>
        <v>7</v>
      </c>
      <c r="D22" s="491">
        <f>IF('Road &amp; Bridge'!$E$54&lt;&gt;0,'Road &amp; Bridge'!$E$54,"  ")</f>
        <v>3689122</v>
      </c>
      <c r="E22" s="492">
        <f>IF('Road &amp; Bridge'!$E$61&lt;&gt;0,'Road &amp; Bridge'!$E$61,0)</f>
        <v>2250118.3782000002</v>
      </c>
      <c r="F22" s="336" t="str">
        <f>IF(AND('Road &amp; Bridge'!E61=0,F60&gt;=0),"",IF(AND(E22&gt;0,F60=0),"",IF(AND(E22&gt;0,F60&gt;0),ROUND(E22/F60*1000,3))))</f>
        <v/>
      </c>
    </row>
    <row r="23" spans="1:7" ht="15.75" customHeight="1" x14ac:dyDescent="0.2">
      <c r="A23" s="50" t="str">
        <f>IF((inputPrYr!$B20&gt;"  "),(inputPrYr!$B20),"  ")</f>
        <v>Fair</v>
      </c>
      <c r="B23" s="427" t="str">
        <f>IF((inputPrYr!C20&gt;0),(inputPrYr!C20),"  ")</f>
        <v>2-129</v>
      </c>
      <c r="C23" s="78">
        <f>IF(FairCon!C87&gt;0,FairCon!C87,"  ")</f>
        <v>8</v>
      </c>
      <c r="D23" s="491">
        <f>IF(FairCon!$E$35&lt;&gt;0,FairCon!$E$35,"  ")</f>
        <v>20000</v>
      </c>
      <c r="E23" s="492">
        <f>IF(FairCon!$E$42&lt;&gt;0,FairCon!$E$42,0)</f>
        <v>18758</v>
      </c>
      <c r="F23" s="336" t="str">
        <f>IF(AND(FairCon!E42=0,$F$60&gt;=0),"",IF(AND(E23&gt;0,$F$60=0),"",IF(AND(E23&gt;0,F$60&gt;0),ROUND(E23/$F$60*1000,3))))</f>
        <v/>
      </c>
      <c r="G23" s="546"/>
    </row>
    <row r="24" spans="1:7" ht="15.75" customHeight="1" x14ac:dyDescent="0.2">
      <c r="A24" s="50" t="str">
        <f>IF((inputPrYr!$B21&gt;"  "),(inputPrYr!$B21),"  ")</f>
        <v>Conservation</v>
      </c>
      <c r="B24" s="427" t="str">
        <f>IF((inputPrYr!C21&gt;0),(inputPrYr!C21),"  ")</f>
        <v>2-1907b</v>
      </c>
      <c r="C24" s="78">
        <f>IF(FairCon!C87&gt;0,FairCon!C87,"  ")</f>
        <v>8</v>
      </c>
      <c r="D24" s="491">
        <f>IF(FairCon!$E$74&lt;&gt;0,FairCon!$E$74,"  ")</f>
        <v>35000</v>
      </c>
      <c r="E24" s="492">
        <f>IF(FairCon!$E$81&lt;&gt;0,FairCon!$E$81,0)</f>
        <v>33218</v>
      </c>
      <c r="F24" s="336" t="str">
        <f>IF(AND(FairCon!E81=0,$F$60&gt;=0),"",IF(AND(E24&gt;0,$F$60=0),"",IF(AND(E24&gt;0,F$60&gt;0),ROUND(E24/$F$60*1000,3))))</f>
        <v/>
      </c>
      <c r="G24" s="546"/>
    </row>
    <row r="25" spans="1:7" ht="15.75" customHeight="1" x14ac:dyDescent="0.2">
      <c r="A25" s="50" t="str">
        <f>IF((inputPrYr!$B22&gt;"  "),(inputPrYr!$B22),"  ")</f>
        <v>Appraiser</v>
      </c>
      <c r="B25" s="427" t="str">
        <f>IF((inputPrYr!C22&gt;0),(inputPrYr!C22),"  ")</f>
        <v>19-439</v>
      </c>
      <c r="C25" s="78">
        <f>IF(ApprNW!C89&gt;0,ApprNW!C89,"  ")</f>
        <v>9</v>
      </c>
      <c r="D25" s="491">
        <f>IF(ApprNW!$E$35&lt;&gt;0,ApprNW!$E$35,"  ")</f>
        <v>357324</v>
      </c>
      <c r="E25" s="492">
        <f>IF(ApprNW!$E$42&lt;&gt;0,ApprNW!$E$42,0)</f>
        <v>264605</v>
      </c>
      <c r="F25" s="336" t="str">
        <f>IF(AND(ApprNW!E42=0,$F$60&gt;=0),"",IF(AND(E25&gt;0,$F$60=0),"",IF(AND(E25&gt;0,F$60&gt;0),ROUND(E25/$F$60*1000,3))))</f>
        <v/>
      </c>
      <c r="G25" s="546"/>
    </row>
    <row r="26" spans="1:7" ht="15.75" customHeight="1" x14ac:dyDescent="0.2">
      <c r="A26" s="50" t="str">
        <f>IF((inputPrYr!$B23&gt;"  "),(inputPrYr!$B23),"  ")</f>
        <v>Noxious Weed</v>
      </c>
      <c r="B26" s="427" t="str">
        <f>IF((inputPrYr!C23&gt;0),(inputPrYr!C23),"  ")</f>
        <v>2-1318</v>
      </c>
      <c r="C26" s="78">
        <f>IF(ApprNW!C89&gt;0,ApprNW!C89,"  ")</f>
        <v>9</v>
      </c>
      <c r="D26" s="491">
        <f>IF(ApprNW!$E$76&lt;&gt;0,ApprNW!$E$76,"  ")</f>
        <v>136000</v>
      </c>
      <c r="E26" s="492">
        <f>IF(ApprNW!$E$83&lt;&gt;0,ApprNW!$E$83,0)</f>
        <v>83476</v>
      </c>
      <c r="F26" s="336" t="str">
        <f>IF(AND(ApprNW!E83=0,$F$60&gt;=0),"",IF(AND(E26&gt;0,$F$60=0),"",IF(AND(E26&gt;0,F$60&gt;0),ROUND(E26/$F$60*1000,3))))</f>
        <v/>
      </c>
      <c r="G26" s="546"/>
    </row>
    <row r="27" spans="1:7" ht="15.75" customHeight="1" x14ac:dyDescent="0.2">
      <c r="A27" s="50" t="str">
        <f>IF((inputPrYr!$B24&gt;"  "),(inputPrYr!$B24),"  ")</f>
        <v>Noxious Weed Chemical</v>
      </c>
      <c r="B27" s="427" t="str">
        <f>IF((inputPrYr!C24&gt;0),(inputPrYr!C24),"  ")</f>
        <v>2-1318</v>
      </c>
      <c r="C27" s="78">
        <f>IF(NWCEle!C88&gt;0,NWCEle!C88,"  ")</f>
        <v>10</v>
      </c>
      <c r="D27" s="491">
        <f>IF(NWCEle!$E$34&lt;&gt;0,NWCEle!$E$34,"  ")</f>
        <v>110000</v>
      </c>
      <c r="E27" s="492">
        <f>IF(NWCEle!$E$41&lt;&gt;0,NWCEle!$E$41,0)</f>
        <v>14055</v>
      </c>
      <c r="F27" s="336" t="str">
        <f>IF(AND(NWCEle!$E$41=0,$F$60&gt;=0),"",IF(AND(E27&gt;0,$F$60=0),"",IF(AND(E27&gt;0,F$60&gt;0),ROUND(E27/$F$60*1000,3))))</f>
        <v/>
      </c>
      <c r="G27" s="546"/>
    </row>
    <row r="28" spans="1:7" ht="15.75" customHeight="1" x14ac:dyDescent="0.2">
      <c r="A28" s="50" t="str">
        <f>IF((inputPrYr!$B25&gt;"  "),(inputPrYr!$B25),"  ")</f>
        <v>Election</v>
      </c>
      <c r="B28" s="427" t="str">
        <f>IF((inputPrYr!C25&gt;0),(inputPrYr!C25),"  ")</f>
        <v>19-3435a</v>
      </c>
      <c r="C28" s="78">
        <f>IF(NWCEle!C88&gt;0,NWCEle!C88,"  ")</f>
        <v>10</v>
      </c>
      <c r="D28" s="491">
        <f>IF(NWCEle!$E$75&lt;&gt;0,NWCEle!$E$75,"  ")</f>
        <v>113300</v>
      </c>
      <c r="E28" s="492">
        <f>IF(NWCEle!$E$82&lt;&gt;0,NWCEle!$E$82,0)</f>
        <v>57557</v>
      </c>
      <c r="F28" s="336" t="str">
        <f>IF(AND(NWCEle!$E$82=0,$F$60&gt;=0),"",IF(AND(E28&gt;0,$F$60=0),"",IF(AND(E28&gt;0,F$60&gt;0),ROUND(E28/$F$60*1000,3))))</f>
        <v/>
      </c>
      <c r="G28" s="546"/>
    </row>
    <row r="29" spans="1:7" ht="15.75" customHeight="1" x14ac:dyDescent="0.2">
      <c r="A29" s="50" t="str">
        <f>IF((inputPrYr!$B26&gt;"  "),(inputPrYr!$B26),"  ")</f>
        <v>Extension Council</v>
      </c>
      <c r="B29" s="427" t="str">
        <f>IF((inputPrYr!C26&gt;0),(inputPrYr!C26),"  ")</f>
        <v>2-610</v>
      </c>
      <c r="C29" s="78">
        <f>IF('Ext Eld'!C87&gt;0,'Ext Eld'!C87,"  ")</f>
        <v>11</v>
      </c>
      <c r="D29" s="491">
        <f>IF('Ext Eld'!$E$34&lt;&gt;0,'Ext Eld'!$E$34,"  ")</f>
        <v>161864</v>
      </c>
      <c r="E29" s="492">
        <f>IF('Ext Eld'!$E$41&lt;&gt;0,'Ext Eld'!$E$41,0)</f>
        <v>144212.6</v>
      </c>
      <c r="F29" s="336" t="str">
        <f>IF(AND('Ext Eld'!$E$41=0,$F$60&gt;=0),"",IF(AND(E29&gt;0,$F$60=0),"",IF(AND(E29&gt;0,F$60&gt;0),ROUND(E29/$F$60*1000,3))))</f>
        <v/>
      </c>
      <c r="G29" s="546"/>
    </row>
    <row r="30" spans="1:7" ht="15.75" customHeight="1" x14ac:dyDescent="0.2">
      <c r="A30" s="50" t="str">
        <f>IF((inputPrYr!$B27&gt;"  "),(inputPrYr!$B27),"  ")</f>
        <v>Elderly</v>
      </c>
      <c r="B30" s="427" t="str">
        <f>IF((inputPrYr!C27&gt;0),(inputPrYr!C27),"  ")</f>
        <v>12-1680</v>
      </c>
      <c r="C30" s="78">
        <f>IF('Ext Eld'!C87&gt;0,'Ext Eld'!C87,"  ")</f>
        <v>11</v>
      </c>
      <c r="D30" s="491">
        <f>IF('Ext Eld'!$E$74&lt;&gt;0,'Ext Eld'!$E$74,"  ")</f>
        <v>483398</v>
      </c>
      <c r="E30" s="492">
        <f>IF('Ext Eld'!$E$81&lt;&gt;0,'Ext Eld'!$E$81,0)</f>
        <v>438118</v>
      </c>
      <c r="F30" s="336" t="str">
        <f>IF(AND('Ext Eld'!$E$81=0,$F$60&gt;=0),"",IF(AND(E30&gt;0,$F$60=0),"",IF(AND(E30&gt;0,F$60&gt;0),ROUND(E30/$F$60*1000,3))))</f>
        <v/>
      </c>
      <c r="G30" s="546"/>
    </row>
    <row r="31" spans="1:7" ht="15.75" customHeight="1" x14ac:dyDescent="0.2">
      <c r="A31" s="50" t="str">
        <f>IF((inputPrYr!$B28&gt;"  "),(inputPrYr!$B28),"  ")</f>
        <v>Economic Development</v>
      </c>
      <c r="B31" s="427" t="str">
        <f>IF((inputPrYr!C28&gt;0),(inputPrYr!C28),"  ")</f>
        <v>19-4102</v>
      </c>
      <c r="C31" s="78">
        <f>IF('ED HD'!C86&gt;0,'ED HD'!C86,"  ")</f>
        <v>12</v>
      </c>
      <c r="D31" s="491">
        <f>IF('ED HD'!$E$33&lt;&gt;0,'ED HD'!$E$33,"  ")</f>
        <v>140000</v>
      </c>
      <c r="E31" s="492">
        <f>IF('ED HD'!$E$40&lt;&gt;0,'ED HD'!$E$40,0)</f>
        <v>64003</v>
      </c>
      <c r="F31" s="336" t="str">
        <f>IF(AND('ED HD'!$E$40=0,$F$60&gt;=0),"",IF(AND(E31&gt;0,$F$60=0),"",IF(AND(E31&gt;0,F$60&gt;0),ROUND(E31/$F$60*1000,3))))</f>
        <v/>
      </c>
      <c r="G31" s="546"/>
    </row>
    <row r="32" spans="1:7" ht="15.75" customHeight="1" x14ac:dyDescent="0.2">
      <c r="A32" s="50" t="str">
        <f>IF((inputPrYr!$B29&gt;"  "),(inputPrYr!$B29),"  ")</f>
        <v>Health</v>
      </c>
      <c r="B32" s="427" t="str">
        <f>IF((inputPrYr!C29&gt;0),(inputPrYr!C29),"  ")</f>
        <v>65-204</v>
      </c>
      <c r="C32" s="78">
        <f>IF('ED HD'!C86&gt;0,'ED HD'!C86,"  ")</f>
        <v>12</v>
      </c>
      <c r="D32" s="491">
        <f>IF('ED HD'!$E$73&lt;&gt;0,'ED HD'!$E$73,"  ")</f>
        <v>1153223</v>
      </c>
      <c r="E32" s="492">
        <f>IF('ED HD'!$E$80&lt;&gt;0,'ED HD'!$E$80,0)</f>
        <v>141928</v>
      </c>
      <c r="F32" s="336" t="str">
        <f>IF(AND('ED HD'!$E$80=0,$F$60&gt;=0),"",IF(AND(E32&gt;0,$F$60=0),"",IF(AND(E32&gt;0,F$60&gt;0),ROUND(E32/$F$60*1000,3))))</f>
        <v/>
      </c>
      <c r="G32" s="546"/>
    </row>
    <row r="33" spans="1:7" ht="15.75" customHeight="1" x14ac:dyDescent="0.2">
      <c r="A33" s="50" t="str">
        <f>IF((inputPrYr!$B30&gt;"  "),(inputPrYr!$B30),"  ")</f>
        <v>Mental Health Workshop</v>
      </c>
      <c r="B33" s="427" t="str">
        <f>IF((inputPrYr!C30&gt;0),(inputPrYr!C30),"  ")</f>
        <v>19-4004</v>
      </c>
      <c r="C33" s="78">
        <f>IF('Mental Health'!C87&gt;0,'Mental Health'!C87,"  ")</f>
        <v>13</v>
      </c>
      <c r="D33" s="491">
        <f>IF('Mental Health'!$E$33&lt;&gt;0,'Mental Health'!$E$33,"  ")</f>
        <v>33760</v>
      </c>
      <c r="E33" s="492">
        <f>IF('Mental Health'!$E$40&lt;&gt;0,'Mental Health'!$E$40,0)</f>
        <v>32156</v>
      </c>
      <c r="F33" s="336" t="str">
        <f>IF(AND('Mental Health'!$E$40=0,$F$60&gt;=0),"",IF(AND(E33&gt;0,$F$60=0),"",IF(AND(E33&gt;0,F$60&gt;0),ROUND(E33/$F$60*1000,3))))</f>
        <v/>
      </c>
      <c r="G33" s="546"/>
    </row>
    <row r="34" spans="1:7" ht="15.75" customHeight="1" x14ac:dyDescent="0.2">
      <c r="A34" s="50" t="str">
        <f>IF((inputPrYr!$B31&gt;"  "),(inputPrYr!$B31),"  ")</f>
        <v>Community Mental Health</v>
      </c>
      <c r="B34" s="427" t="str">
        <f>IF((inputPrYr!C31&gt;0),(inputPrYr!C31),"  ")</f>
        <v>65-212</v>
      </c>
      <c r="C34" s="78">
        <f>IF('Mental Health'!C87&gt;0,'Mental Health'!C87,"  ")</f>
        <v>13</v>
      </c>
      <c r="D34" s="491">
        <f>IF('Mental Health'!$E$74&lt;&gt;0,'Mental Health'!$E$74,"  ")</f>
        <v>44200</v>
      </c>
      <c r="E34" s="492">
        <f>IF('Mental Health'!$E$81&lt;&gt;0,'Mental Health'!$E$81,0)</f>
        <v>28247</v>
      </c>
      <c r="F34" s="336" t="str">
        <f>IF(AND('Mental Health'!$E$81=0,$F$60&gt;=0),"",IF(AND(E34&gt;0,$F$60=0),"",IF(AND(E34&gt;0,F$60&gt;0),ROUND(E34/$F$60*1000,3))))</f>
        <v/>
      </c>
      <c r="G34" s="546"/>
    </row>
    <row r="35" spans="1:7" ht="15.75" customHeight="1" x14ac:dyDescent="0.2">
      <c r="A35" s="50" t="str">
        <f>IF((inputPrYr!$B32&gt;"  "),(inputPrYr!$B32),"  ")</f>
        <v>Employee Benefit</v>
      </c>
      <c r="B35" s="427" t="str">
        <f>IF((inputPrYr!C32&gt;0),(inputPrYr!C32),"  ")</f>
        <v>12-16,102</v>
      </c>
      <c r="C35" s="78">
        <f>IF('Emp Ben'!C87&gt;0,'Emp Ben'!C87,"  ")</f>
        <v>14</v>
      </c>
      <c r="D35" s="491">
        <f>IF('Emp Ben'!$E$34&lt;&gt;0,'Emp Ben'!$E$34,"  ")</f>
        <v>718000</v>
      </c>
      <c r="E35" s="492">
        <f>IF('Emp Ben'!$E$41&lt;&gt;0,'Emp Ben'!$E$41,0)</f>
        <v>589676</v>
      </c>
      <c r="F35" s="336" t="str">
        <f>IF(AND('Emp Ben'!$E$41=0,$F$60&gt;=0),"",IF(AND(E35&gt;0,$F$60=0),"",IF(AND(E35&gt;0,F$60&gt;0),ROUND(E35/$F$60*1000,3))))</f>
        <v/>
      </c>
      <c r="G35" s="546"/>
    </row>
    <row r="36" spans="1:7" ht="15.75" customHeight="1" x14ac:dyDescent="0.2">
      <c r="A36" s="50" t="str">
        <f>IF((inputPrYr!$B33&gt;"  "),(inputPrYr!$B33),"  ")</f>
        <v>Bond &amp; Interest</v>
      </c>
      <c r="B36" s="427" t="str">
        <f>IF((inputPrYr!C33&gt;0),(inputPrYr!C33),"  ")</f>
        <v>10-113</v>
      </c>
      <c r="C36" s="78">
        <f>IF('Emp Ben'!C87&gt;0,'Emp Ben'!C87,"  ")</f>
        <v>14</v>
      </c>
      <c r="D36" s="491">
        <f>IF('Emp Ben'!$E$74&lt;&gt;0,'Emp Ben'!$E$74,"  ")</f>
        <v>36857</v>
      </c>
      <c r="E36" s="492">
        <f>IF('Emp Ben'!$E$81&lt;&gt;0,'Emp Ben'!$E$81,0)</f>
        <v>0</v>
      </c>
      <c r="F36" s="336" t="str">
        <f>IF(AND('Emp Ben'!$E$81=0,$F$60&gt;=0),"",IF(AND(E36&gt;0,$F$60=0),"",IF(AND(E36&gt;0,F$60&gt;0),ROUND(E36/$F$60*1000,3))))</f>
        <v/>
      </c>
      <c r="G36" s="546"/>
    </row>
    <row r="37" spans="1:7" ht="15.75" customHeight="1" x14ac:dyDescent="0.2">
      <c r="A37" s="50" t="str">
        <f>IF((inputPrYr!$B36&gt;"  "),(inputPrYr!$B36),"  ")</f>
        <v>Capital Improvement</v>
      </c>
      <c r="B37" s="427"/>
      <c r="C37" s="78">
        <f>IF('CPI Div'!C86&gt;0,'CPI Div'!C86,"  ")</f>
        <v>15</v>
      </c>
      <c r="D37" s="491">
        <f>IF('CPI Div'!$E$33&lt;&gt;0,'CPI Div'!$E$33,"  ")</f>
        <v>186429</v>
      </c>
      <c r="E37" s="492">
        <f>IF('CPI Div'!$E$40&lt;&gt;0,'CPI Div'!$E$40,0)</f>
        <v>0</v>
      </c>
      <c r="F37" s="336" t="str">
        <f>IF(AND('CPI Div'!$E$40=0,$F$60&gt;=0),"",IF(AND(E37&gt;0,$F$60=0),"",IF(AND(E37&gt;0,F$60&gt;0),ROUND(E37/$F$60*1000,3))))</f>
        <v/>
      </c>
      <c r="G37" s="546"/>
    </row>
    <row r="38" spans="1:7" ht="15.75" customHeight="1" x14ac:dyDescent="0.2">
      <c r="A38" s="50" t="str">
        <f>IF((inputPrYr!$B37&gt;"  "),(inputPrYr!$B37),"  ")</f>
        <v>Diversion</v>
      </c>
      <c r="B38" s="427"/>
      <c r="C38" s="78">
        <f>IF('CPI Div'!C86&gt;0,'CPI Div'!C86,"  ")</f>
        <v>15</v>
      </c>
      <c r="D38" s="491">
        <f>IF('CPI Div'!$E$73&lt;&gt;0,'CPI Div'!$E$73,"  ")</f>
        <v>75000</v>
      </c>
      <c r="E38" s="492">
        <f>IF('CPI Div'!$E$80&lt;&gt;0,'CPI Div'!$E$80,0)</f>
        <v>0</v>
      </c>
      <c r="F38" s="336" t="str">
        <f>IF(AND('CPI Div'!$E$80=0,$F$60&gt;=0),"",IF(AND(E38&gt;0,$F$60=0),"",IF(AND(E38&gt;0,F$60&gt;0),ROUND(E38/$F$60*1000,3))))</f>
        <v/>
      </c>
      <c r="G38" s="546"/>
    </row>
    <row r="39" spans="1:7" ht="15.75" customHeight="1" x14ac:dyDescent="0.2">
      <c r="A39" s="50" t="str">
        <f>IF((inputPrYr!$B38&gt;"  "),(inputPrYr!$B38),"  ")</f>
        <v>Solid Waste</v>
      </c>
      <c r="B39" s="427"/>
      <c r="C39" s="78">
        <f>IF('SW Kit'!C87&gt;0,'SW Kit'!C87,"  ")</f>
        <v>16</v>
      </c>
      <c r="D39" s="491">
        <f>IF('SW Kit'!$E$33&lt;&gt;0,'SW Kit'!$E$33,"  ")</f>
        <v>400000</v>
      </c>
      <c r="E39" s="492">
        <f>IF('SW Kit'!$E$40&lt;&gt;0,'SW Kit'!$E$40,0)</f>
        <v>0</v>
      </c>
      <c r="F39" s="336" t="str">
        <f>IF(AND('SW Kit'!$E$40=0,$F$60&gt;=0),"",IF(AND(E39&gt;0,$F$60=0),"",IF(AND(E39&gt;0,F$60&gt;0),ROUND(E39/$F$60*1000,3))))</f>
        <v/>
      </c>
      <c r="G39" s="546"/>
    </row>
    <row r="40" spans="1:7" ht="15.75" customHeight="1" x14ac:dyDescent="0.2">
      <c r="A40" s="50" t="str">
        <f>IF((inputPrYr!$B39&gt;"  "),(inputPrYr!$B39),"  ")</f>
        <v>Central Kitchen</v>
      </c>
      <c r="B40" s="427"/>
      <c r="C40" s="78">
        <f>IF('SW Kit'!C87&gt;0,'SW Kit'!C87,"  ")</f>
        <v>16</v>
      </c>
      <c r="D40" s="491">
        <f>IF('SW Kit'!$E$74&lt;&gt;0,'SW Kit'!$E$74,"  ")</f>
        <v>246000</v>
      </c>
      <c r="E40" s="492">
        <f>IF('SW Kit'!$E$81&lt;&gt;0,'SW Kit'!$E$81,0)</f>
        <v>0</v>
      </c>
      <c r="F40" s="336" t="str">
        <f>IF(AND('SW Kit'!$E$81=0,$F$60&gt;=0),"",IF(AND(E40&gt;0,$F$60=0),"",IF(AND(E40&gt;0,F$60&gt;0),ROUND(E40/$F$60*1000,3))))</f>
        <v/>
      </c>
      <c r="G40" s="546"/>
    </row>
    <row r="41" spans="1:7" ht="15.75" customHeight="1" x14ac:dyDescent="0.2">
      <c r="A41" s="50" t="str">
        <f>IF((inputPrYr!$B40&gt;"  "),(inputPrYr!$B40),"  ")</f>
        <v>Title III</v>
      </c>
      <c r="B41" s="427"/>
      <c r="C41" s="78">
        <f>IF(Title!C87&gt;0,Title!C87,"  ")</f>
        <v>17</v>
      </c>
      <c r="D41" s="491">
        <f>IF(Title!E33&lt;&gt;0,Title!E33,"  ")</f>
        <v>701105</v>
      </c>
      <c r="E41" s="492">
        <f>IF(Title!E40&lt;&gt;0,Title!E40,0)</f>
        <v>0</v>
      </c>
      <c r="F41" s="336" t="str">
        <f>IF(AND(Title!$E$40=0,$F$60&gt;=0),"",IF(AND(E41&gt;0,$F$60=0),"",IF(AND(E41&gt;0,F$60&gt;0),ROUND(E41/$F$60*1000,3))))</f>
        <v/>
      </c>
      <c r="G41" s="546"/>
    </row>
    <row r="42" spans="1:7" ht="15.75" customHeight="1" x14ac:dyDescent="0.2">
      <c r="A42" s="50" t="str">
        <f>IF((inputPrYr!$B41&gt;"  "),(inputPrYr!$B41),"  ")</f>
        <v>Local Alcoholic Liquor</v>
      </c>
      <c r="B42" s="427"/>
      <c r="C42" s="78">
        <f>IF(Title!C87&gt;0,Title!C87,"  ")</f>
        <v>17</v>
      </c>
      <c r="D42" s="491">
        <f>IF(Title!E74&lt;&gt;0,Title!E74,"  ")</f>
        <v>24200</v>
      </c>
      <c r="E42" s="492">
        <f>IF(Title!E81&lt;&gt;0,Title!E81,0)</f>
        <v>0</v>
      </c>
      <c r="F42" s="336" t="str">
        <f>IF(AND(Title!$E$81=0,$F$60&gt;=0),"",IF(AND(E42&gt;0,$F$60=0),"",IF(AND(E42&gt;0,F$60&gt;0),ROUND(E42/$F$60*1000,3))))</f>
        <v/>
      </c>
      <c r="G42" s="546"/>
    </row>
    <row r="43" spans="1:7" ht="15.75" customHeight="1" x14ac:dyDescent="0.2">
      <c r="A43" s="50" t="str">
        <f>IF((inputPrYr!$B42&gt;"  "),(inputPrYr!$B42),"  ")</f>
        <v>New Sales Tax</v>
      </c>
      <c r="B43" s="427"/>
      <c r="C43" s="78">
        <f>IF(' ST Fema'!C87&gt;0,' ST Fema'!C87,"  ")</f>
        <v>18</v>
      </c>
      <c r="D43" s="491">
        <f>IF(' ST Fema'!$E$33&lt;&gt;0,' ST Fema'!$E$33,"  ")</f>
        <v>1400000</v>
      </c>
      <c r="E43" s="492">
        <f>IF(' ST Fema'!$E$40&lt;&gt;0,' ST Fema'!$E$40,0)</f>
        <v>0</v>
      </c>
      <c r="F43" s="336" t="str">
        <f>IF(AND(' ST Fema'!$E$40=0,$F$60&gt;=0),"",IF(AND(E43&gt;0,$F$60=0),"",IF(AND(E43&gt;0,F$60&gt;0),ROUND(E43/$F$60*1000,3))))</f>
        <v/>
      </c>
      <c r="G43" s="546"/>
    </row>
    <row r="44" spans="1:7" ht="15.75" customHeight="1" x14ac:dyDescent="0.2">
      <c r="A44" s="50" t="s">
        <v>946</v>
      </c>
      <c r="B44" s="427"/>
      <c r="C44" s="78">
        <f>IF(' ST Fema'!C87&gt;0,' ST Fema'!C87,"  ")</f>
        <v>18</v>
      </c>
      <c r="D44" s="491">
        <f>IF(' ST Fema'!$E$74&lt;&gt;0,' ST Fema'!$E$74,"  ")</f>
        <v>223304</v>
      </c>
      <c r="E44" s="492">
        <f>IF(' ST Fema'!$E$81&lt;&gt;0,' ST Fema'!$E$81,0)</f>
        <v>0.23000000001047738</v>
      </c>
      <c r="F44" s="336"/>
    </row>
    <row r="45" spans="1:7" ht="15.75" customHeight="1" x14ac:dyDescent="0.2">
      <c r="A45" s="50" t="s">
        <v>947</v>
      </c>
      <c r="B45" s="96"/>
      <c r="C45" s="78">
        <f>IF('No Lvey Pg 25'!C65&gt;0,'No Lvey Pg 25'!C65,"  ")</f>
        <v>19</v>
      </c>
      <c r="D45" s="491">
        <v>100000</v>
      </c>
      <c r="E45" s="493"/>
      <c r="F45" s="493"/>
    </row>
    <row r="46" spans="1:7" ht="15.75" customHeight="1" x14ac:dyDescent="0.2">
      <c r="A46" s="50" t="s">
        <v>948</v>
      </c>
      <c r="B46" s="96"/>
      <c r="C46" s="78">
        <f>IF('No Lvey Pg 25'!C65&gt;0,'No Lvey Pg 25'!C65,"  ")</f>
        <v>19</v>
      </c>
      <c r="D46" s="491">
        <v>200000</v>
      </c>
      <c r="E46" s="493"/>
      <c r="F46" s="493"/>
    </row>
    <row r="47" spans="1:7" ht="15.75" customHeight="1" x14ac:dyDescent="0.2">
      <c r="A47" s="50" t="s">
        <v>949</v>
      </c>
      <c r="B47" s="96"/>
      <c r="C47" s="78">
        <f>IF('No Lvey Pg 26'!C65&gt;0,'No Lvey Pg 26'!C65,"  ")</f>
        <v>20</v>
      </c>
      <c r="D47" s="491">
        <v>1157158</v>
      </c>
      <c r="E47" s="493"/>
      <c r="F47" s="493"/>
    </row>
    <row r="48" spans="1:7" ht="15.75" customHeight="1" x14ac:dyDescent="0.2">
      <c r="A48" s="50"/>
      <c r="B48" s="96"/>
      <c r="C48" s="78"/>
      <c r="D48" s="491" t="str">
        <f>IF('No Lvey Pg 26'!$E$57&lt;&gt;0,'No Lvey Pg 26'!$E$57,"  ")</f>
        <v xml:space="preserve">  </v>
      </c>
      <c r="E48" s="494"/>
      <c r="F48" s="494"/>
    </row>
    <row r="49" spans="1:6" ht="15.75" customHeight="1" x14ac:dyDescent="0.2">
      <c r="A49" s="50" t="str">
        <f>IF((inputPrYr!$B47&gt;"  "),(inputPrYr!$B47),"  ")</f>
        <v xml:space="preserve">  </v>
      </c>
      <c r="B49" s="96"/>
      <c r="C49" s="78" t="str">
        <f>IF('No Levy Page 27'!C65&gt;0,'No Levy Page 27'!C65,"  ")</f>
        <v xml:space="preserve">  </v>
      </c>
      <c r="D49" s="491" t="str">
        <f>IF('No Levy Page 27'!$E$27&lt;&gt;0,'No Levy Page 27'!$E$27,"  ")</f>
        <v xml:space="preserve">  </v>
      </c>
      <c r="E49" s="494"/>
      <c r="F49" s="494"/>
    </row>
    <row r="50" spans="1:6" ht="15.75" customHeight="1" x14ac:dyDescent="0.2">
      <c r="A50" s="50" t="str">
        <f>IF((inputPrYr!$B48&gt;"  "),(inputPrYr!$B48),"  ")</f>
        <v xml:space="preserve">  </v>
      </c>
      <c r="B50" s="96"/>
      <c r="C50" s="78" t="str">
        <f>IF('No Levy Page 27'!C65&gt;0,'No Levy Page 27'!C65,"  ")</f>
        <v xml:space="preserve">  </v>
      </c>
      <c r="D50" s="491" t="str">
        <f>IF('No Levy Page 27'!$E$57&lt;&gt;0,'No Levy Page 27'!$E$57,"  ")</f>
        <v xml:space="preserve">  </v>
      </c>
      <c r="E50" s="494"/>
      <c r="F50" s="494"/>
    </row>
    <row r="51" spans="1:6" ht="15.75" customHeight="1" x14ac:dyDescent="0.2">
      <c r="A51" s="50"/>
      <c r="B51" s="96"/>
      <c r="C51" s="78" t="str">
        <f>IF('No Levy Page 28'!C65&gt;0,'No Levy Page 28'!C65,"  ")</f>
        <v xml:space="preserve">  </v>
      </c>
      <c r="D51" s="491" t="str">
        <f>IF('No Levy Page 28'!$E$27&lt;&gt;0,'No Levy Page 28'!$E$27,"  ")</f>
        <v xml:space="preserve">  </v>
      </c>
      <c r="E51" s="494"/>
      <c r="F51" s="494"/>
    </row>
    <row r="52" spans="1:6" ht="15.75" customHeight="1" x14ac:dyDescent="0.2">
      <c r="A52" s="50" t="str">
        <f>IF((inputPrYr!$B51&gt;"  "),(inputPrYr!$B51),"  ")</f>
        <v xml:space="preserve">  </v>
      </c>
      <c r="B52" s="38"/>
      <c r="C52" s="78" t="str">
        <f>IF('No Levy Page 28'!C65&gt;0,'No Levy Page 28'!C65,"  ")</f>
        <v xml:space="preserve">  </v>
      </c>
      <c r="D52" s="491" t="str">
        <f>IF('No Levy Page 28'!$E$57&lt;&gt;0,'No Levy Page 28'!$E$57,"  ")</f>
        <v xml:space="preserve">  </v>
      </c>
      <c r="E52" s="494"/>
      <c r="F52" s="494"/>
    </row>
    <row r="53" spans="1:6" ht="15.75" customHeight="1" x14ac:dyDescent="0.2">
      <c r="A53" s="50" t="str">
        <f>IF((inputPrYr!$B55&gt;"  "),('Non-Budgeted Funds A'!$A3),"  ")</f>
        <v xml:space="preserve">  </v>
      </c>
      <c r="B53" s="38"/>
      <c r="C53" s="78" t="str">
        <f>IF('Non-Budgeted Funds A'!$F$37&gt;0,'Non-Budgeted Funds A'!$F$37,"  ")</f>
        <v xml:space="preserve">  </v>
      </c>
      <c r="D53" s="491"/>
      <c r="E53" s="494"/>
      <c r="F53" s="494"/>
    </row>
    <row r="54" spans="1:6" ht="15.75" customHeight="1" x14ac:dyDescent="0.2">
      <c r="A54" s="50" t="str">
        <f>IF((inputPrYr!$B61&gt;"  "),('Non-Budgeted Funds B'!$A3),"  ")</f>
        <v xml:space="preserve">  </v>
      </c>
      <c r="B54" s="38"/>
      <c r="C54" s="78" t="str">
        <f>IF('Non-Budgeted Funds B'!$F$37&gt;0,'Non-Budgeted Funds B'!$F$37,"  ")</f>
        <v xml:space="preserve">  </v>
      </c>
      <c r="D54" s="491"/>
      <c r="E54" s="494"/>
      <c r="F54" s="494"/>
    </row>
    <row r="55" spans="1:6" ht="15.75" customHeight="1" x14ac:dyDescent="0.2">
      <c r="A55" s="50" t="str">
        <f>IF((inputPrYr!$B67&gt;"  "),('Non-Budgeted Funds C'!$A3),"  ")</f>
        <v xml:space="preserve">  </v>
      </c>
      <c r="B55" s="38"/>
      <c r="C55" s="78" t="str">
        <f>IF('Non-Budgeted Funds C'!$F$37&gt;0,'Non-Budgeted Funds C'!$F$37,"  ")</f>
        <v xml:space="preserve">  </v>
      </c>
      <c r="D55" s="491"/>
      <c r="E55" s="494"/>
      <c r="F55" s="494"/>
    </row>
    <row r="56" spans="1:6" ht="15.75" customHeight="1" x14ac:dyDescent="0.2">
      <c r="A56" s="50" t="str">
        <f>IF((inputPrYr!$B73&gt;"  "),('Non-Budgeted Funds D'!$A3),"  ")</f>
        <v xml:space="preserve">  </v>
      </c>
      <c r="B56" s="38"/>
      <c r="C56" s="78" t="str">
        <f>IF('Non-Budgeted Funds D'!$F$37&gt;0,'Non-Budgeted Funds D'!$F$37,"  ")</f>
        <v xml:space="preserve">  </v>
      </c>
      <c r="D56" s="491"/>
      <c r="E56" s="494"/>
      <c r="F56" s="494"/>
    </row>
    <row r="57" spans="1:6" ht="15.75" customHeight="1" thickBot="1" x14ac:dyDescent="0.25">
      <c r="A57" s="470" t="s">
        <v>77</v>
      </c>
      <c r="B57" s="466"/>
      <c r="C57" s="471" t="s">
        <v>66</v>
      </c>
      <c r="D57" s="210">
        <f>SUM(D20:D56)</f>
        <v>15519224</v>
      </c>
      <c r="E57" s="210">
        <f>SUM(E20:E56)</f>
        <v>5850610.7844000002</v>
      </c>
      <c r="F57" s="210" t="str">
        <f>IF(SUM(F20:F44)=0,"",SUM(F20:F44))</f>
        <v/>
      </c>
    </row>
    <row r="58" spans="1:6" ht="15.75" customHeight="1" thickTop="1" x14ac:dyDescent="0.2">
      <c r="A58" s="587" t="s">
        <v>525</v>
      </c>
      <c r="B58" s="588"/>
      <c r="C58" s="472" t="str">
        <f>IF('Budget Hearing Notice'!E81&gt;0, 'Budget Hearing Notice'!E81, " ")</f>
        <v xml:space="preserve"> </v>
      </c>
      <c r="D58" s="288"/>
      <c r="E58" s="26"/>
      <c r="F58" s="26"/>
    </row>
    <row r="59" spans="1:6" ht="15.75" customHeight="1" x14ac:dyDescent="0.2">
      <c r="A59" s="587" t="s">
        <v>526</v>
      </c>
      <c r="B59" s="588"/>
      <c r="C59" s="78" t="str">
        <f>IF('Budget Hearing Notice 2'!E42&gt;0, 'Budget Hearing Notice 2'!E42, " ")</f>
        <v xml:space="preserve"> </v>
      </c>
      <c r="D59" s="288"/>
      <c r="E59" s="26"/>
      <c r="F59" s="545" t="s">
        <v>192</v>
      </c>
    </row>
    <row r="60" spans="1:6" ht="15.75" customHeight="1" x14ac:dyDescent="0.2">
      <c r="A60" s="586" t="s">
        <v>527</v>
      </c>
      <c r="B60" s="586"/>
      <c r="C60" s="78">
        <f>IF('Combined Rate-Bud Hearing Notic'!E85&gt;0, 'Combined Rate-Bud Hearing Notic'!E85, " ")</f>
        <v>21</v>
      </c>
      <c r="D60" s="31"/>
      <c r="E60" s="26"/>
      <c r="F60" s="589"/>
    </row>
    <row r="61" spans="1:6" ht="15.75" customHeight="1" x14ac:dyDescent="0.2">
      <c r="A61" s="586" t="s">
        <v>528</v>
      </c>
      <c r="B61" s="586"/>
      <c r="C61" s="78" t="str">
        <f>IF('Combined Rate-Bud Hearing Not 2'!E42&gt;0, 'Combined Rate-Bud Hearing Not 2'!E42, " ")</f>
        <v xml:space="preserve"> </v>
      </c>
      <c r="D61" s="31"/>
      <c r="E61" s="26"/>
      <c r="F61" s="589"/>
    </row>
    <row r="62" spans="1:6" ht="15.75" customHeight="1" x14ac:dyDescent="0.2">
      <c r="A62" s="60" t="s">
        <v>529</v>
      </c>
      <c r="B62" s="473"/>
      <c r="C62" s="78">
        <f>IF('RNR Hearing Notice'!E14&gt;0, 'RNR Hearing Notice'!E14, " ")</f>
        <v>23</v>
      </c>
      <c r="D62" s="31"/>
      <c r="E62" s="26"/>
      <c r="F62" s="567" t="str">
        <f>CONCATENATE("Nov 1, ",F1-1," Total Assessed Valuation")</f>
        <v>Nov 1, 2023 Total Assessed Valuation</v>
      </c>
    </row>
    <row r="63" spans="1:6" ht="15.75" customHeight="1" x14ac:dyDescent="0.2">
      <c r="A63" s="583" t="s">
        <v>198</v>
      </c>
      <c r="B63" s="584"/>
      <c r="C63" s="78">
        <f>IF('NR Rebate'!C51&gt;0, 'NR Rebate'!C51, " ")</f>
        <v>22</v>
      </c>
      <c r="D63" s="89"/>
      <c r="E63" s="474"/>
      <c r="F63" s="603"/>
    </row>
    <row r="64" spans="1:6" ht="15.75" customHeight="1" x14ac:dyDescent="0.2">
      <c r="A64" s="25"/>
      <c r="B64" s="26"/>
      <c r="C64" s="32"/>
      <c r="D64" s="495"/>
      <c r="E64" s="475"/>
      <c r="F64" s="26"/>
    </row>
    <row r="65" spans="1:6" ht="15.75" customHeight="1" x14ac:dyDescent="0.2">
      <c r="A65" s="423"/>
      <c r="B65" s="476"/>
      <c r="C65" s="477"/>
      <c r="D65" s="26"/>
      <c r="E65" s="125" t="s">
        <v>530</v>
      </c>
      <c r="F65" s="478">
        <f>inputOth!E15</f>
        <v>36.917000000000002</v>
      </c>
    </row>
    <row r="66" spans="1:6" ht="15.75" customHeight="1" x14ac:dyDescent="0.2">
      <c r="A66" s="479"/>
      <c r="B66" s="293"/>
      <c r="C66" s="480"/>
      <c r="D66" s="26"/>
      <c r="E66" s="26"/>
      <c r="F66" s="26"/>
    </row>
    <row r="67" spans="1:6" ht="15.75" customHeight="1" x14ac:dyDescent="0.2">
      <c r="A67" s="26"/>
      <c r="B67" s="26"/>
      <c r="C67" s="26"/>
      <c r="D67" s="26"/>
      <c r="E67" s="26"/>
      <c r="F67" s="26"/>
    </row>
    <row r="68" spans="1:6" ht="15.75" customHeight="1" x14ac:dyDescent="0.2">
      <c r="A68" s="25" t="s">
        <v>67</v>
      </c>
      <c r="B68" s="26"/>
      <c r="C68" s="25"/>
      <c r="D68" s="26"/>
      <c r="E68" s="26"/>
      <c r="F68" s="26"/>
    </row>
    <row r="69" spans="1:6" ht="15.75" customHeight="1" x14ac:dyDescent="0.2">
      <c r="A69" s="481" t="s">
        <v>968</v>
      </c>
      <c r="B69" s="26"/>
      <c r="C69" s="480"/>
      <c r="D69" s="585" t="s">
        <v>531</v>
      </c>
      <c r="E69" s="585"/>
      <c r="F69" s="585"/>
    </row>
    <row r="70" spans="1:6" ht="15.75" customHeight="1" x14ac:dyDescent="0.2">
      <c r="A70" s="25" t="s">
        <v>194</v>
      </c>
      <c r="B70" s="26"/>
      <c r="C70" s="26"/>
      <c r="D70" s="26"/>
      <c r="E70" s="155"/>
      <c r="F70" s="155"/>
    </row>
    <row r="71" spans="1:6" ht="15.75" customHeight="1" x14ac:dyDescent="0.2">
      <c r="A71" s="481" t="s">
        <v>969</v>
      </c>
      <c r="B71" s="90"/>
      <c r="C71" s="480"/>
      <c r="D71" s="585" t="s">
        <v>532</v>
      </c>
      <c r="E71" s="585"/>
      <c r="F71" s="585"/>
    </row>
    <row r="72" spans="1:6" ht="15.75" customHeight="1" x14ac:dyDescent="0.2">
      <c r="A72" s="482" t="s">
        <v>970</v>
      </c>
      <c r="B72" s="26"/>
      <c r="C72" s="26"/>
      <c r="D72" s="26"/>
      <c r="E72" s="483"/>
      <c r="F72" s="483"/>
    </row>
    <row r="73" spans="1:6" ht="15.75" customHeight="1" x14ac:dyDescent="0.2">
      <c r="A73" s="26" t="s">
        <v>310</v>
      </c>
      <c r="B73" s="90"/>
      <c r="C73" s="480"/>
      <c r="D73" s="585" t="s">
        <v>532</v>
      </c>
      <c r="E73" s="585"/>
      <c r="F73" s="585"/>
    </row>
    <row r="74" spans="1:6" ht="15.75" customHeight="1" x14ac:dyDescent="0.2">
      <c r="A74" s="548" t="s">
        <v>971</v>
      </c>
      <c r="B74" s="26"/>
      <c r="C74" s="26"/>
      <c r="D74" s="26"/>
      <c r="E74" s="483"/>
      <c r="F74" s="53"/>
    </row>
    <row r="75" spans="1:6" x14ac:dyDescent="0.2">
      <c r="A75" s="90"/>
      <c r="B75" s="90"/>
      <c r="C75" s="480"/>
      <c r="D75" s="585" t="s">
        <v>532</v>
      </c>
      <c r="E75" s="585"/>
      <c r="F75" s="585"/>
    </row>
    <row r="76" spans="1:6" x14ac:dyDescent="0.2">
      <c r="A76" s="27" t="s">
        <v>533</v>
      </c>
      <c r="B76" s="135">
        <f>F1-1</f>
        <v>2023</v>
      </c>
      <c r="C76" s="26"/>
      <c r="D76" s="26"/>
      <c r="E76" s="26"/>
      <c r="F76" s="26"/>
    </row>
    <row r="77" spans="1:6" x14ac:dyDescent="0.2">
      <c r="A77" s="31"/>
      <c r="B77" s="26"/>
      <c r="C77" s="480"/>
      <c r="D77" s="585" t="s">
        <v>532</v>
      </c>
      <c r="E77" s="585"/>
      <c r="F77" s="585"/>
    </row>
    <row r="78" spans="1:6" x14ac:dyDescent="0.2">
      <c r="A78" s="174"/>
      <c r="B78" s="26"/>
      <c r="C78" s="480"/>
      <c r="D78" s="600" t="s">
        <v>68</v>
      </c>
      <c r="E78" s="600"/>
      <c r="F78" s="600"/>
    </row>
    <row r="79" spans="1:6" x14ac:dyDescent="0.2">
      <c r="A79" s="484" t="s">
        <v>69</v>
      </c>
      <c r="B79" s="26"/>
      <c r="C79" s="32"/>
      <c r="D79" s="26"/>
      <c r="E79" s="26"/>
      <c r="F79" s="26"/>
    </row>
    <row r="80" spans="1:6" x14ac:dyDescent="0.2">
      <c r="A80" s="26"/>
      <c r="B80" s="26"/>
      <c r="C80" s="26"/>
      <c r="D80" s="26"/>
      <c r="E80" s="26"/>
      <c r="F80" s="26"/>
    </row>
    <row r="81" spans="1:6" x14ac:dyDescent="0.2">
      <c r="A81" s="485" t="s">
        <v>342</v>
      </c>
      <c r="B81" s="341"/>
      <c r="C81" s="341"/>
      <c r="D81" s="341"/>
      <c r="E81" s="341"/>
      <c r="F81" s="391"/>
    </row>
    <row r="82" spans="1:6" x14ac:dyDescent="0.2">
      <c r="A82" s="126"/>
      <c r="B82" s="26"/>
      <c r="C82" s="26"/>
      <c r="D82" s="26"/>
      <c r="E82" s="26"/>
      <c r="F82" s="306"/>
    </row>
    <row r="83" spans="1:6" x14ac:dyDescent="0.2">
      <c r="A83" s="397"/>
      <c r="B83" s="44"/>
      <c r="C83" s="44"/>
      <c r="D83" s="44"/>
      <c r="E83" s="44"/>
      <c r="F83" s="47"/>
    </row>
  </sheetData>
  <sheetProtection selectLockedCells="1" selectUnlockedCells="1"/>
  <mergeCells count="22">
    <mergeCell ref="D73:F73"/>
    <mergeCell ref="D75:F75"/>
    <mergeCell ref="D77:F77"/>
    <mergeCell ref="D78:F78"/>
    <mergeCell ref="F62:F63"/>
    <mergeCell ref="D12:F12"/>
    <mergeCell ref="D13:D14"/>
    <mergeCell ref="F13:F14"/>
    <mergeCell ref="A2:F2"/>
    <mergeCell ref="E13:E14"/>
    <mergeCell ref="A6:F6"/>
    <mergeCell ref="A4:F4"/>
    <mergeCell ref="A5:F5"/>
    <mergeCell ref="C13:C14"/>
    <mergeCell ref="A63:B63"/>
    <mergeCell ref="D69:F69"/>
    <mergeCell ref="D71:F71"/>
    <mergeCell ref="A60:B60"/>
    <mergeCell ref="A58:B58"/>
    <mergeCell ref="A59:B59"/>
    <mergeCell ref="A61:B61"/>
    <mergeCell ref="F60:F61"/>
  </mergeCells>
  <phoneticPr fontId="0" type="noConversion"/>
  <hyperlinks>
    <hyperlink ref="A74" r:id="rId1"/>
  </hyperlinks>
  <pageMargins left="0.5" right="0.5" top="0" bottom="0.23" header="0" footer="0"/>
  <pageSetup scale="59" orientation="portrait" blackAndWhite="1" r:id="rId2"/>
  <headerFooter alignWithMargins="0">
    <oddHeader xml:space="preserve">&amp;RState of Kansas
County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G63"/>
  <sheetViews>
    <sheetView workbookViewId="0">
      <selection activeCell="D43" sqref="D43"/>
    </sheetView>
  </sheetViews>
  <sheetFormatPr defaultRowHeight="15.75" x14ac:dyDescent="0.2"/>
  <cols>
    <col min="1" max="1" width="34.44140625" style="23" customWidth="1"/>
    <col min="2" max="2" width="9.77734375" style="23" customWidth="1"/>
    <col min="3" max="3" width="5.77734375" style="23" customWidth="1"/>
    <col min="4" max="7" width="12.77734375" style="23" customWidth="1"/>
    <col min="8" max="16384" width="8.88671875" style="23"/>
  </cols>
  <sheetData>
    <row r="1" spans="1:7" x14ac:dyDescent="0.2">
      <c r="A1" s="57" t="str">
        <f>inputPrYr!C3</f>
        <v>Doniphan County</v>
      </c>
      <c r="B1" s="26"/>
      <c r="C1" s="26"/>
      <c r="D1" s="26"/>
      <c r="E1" s="26"/>
      <c r="F1" s="26"/>
      <c r="G1" s="26">
        <f>inputPrYr!C5</f>
        <v>2024</v>
      </c>
    </row>
    <row r="2" spans="1:7" x14ac:dyDescent="0.2">
      <c r="A2" s="604" t="s">
        <v>10</v>
      </c>
      <c r="B2" s="604"/>
      <c r="C2" s="604"/>
      <c r="D2" s="604"/>
      <c r="E2" s="604"/>
      <c r="F2" s="604"/>
      <c r="G2" s="604"/>
    </row>
    <row r="3" spans="1:7" x14ac:dyDescent="0.2">
      <c r="A3" s="79"/>
      <c r="B3" s="30"/>
      <c r="C3" s="30"/>
      <c r="D3" s="79"/>
      <c r="E3" s="79"/>
      <c r="F3" s="79"/>
      <c r="G3" s="79"/>
    </row>
    <row r="4" spans="1:7" x14ac:dyDescent="0.2">
      <c r="A4" s="26"/>
      <c r="B4" s="26"/>
      <c r="C4" s="26"/>
      <c r="D4" s="590" t="str">
        <f>CONCATENATE("",G1," Proposed Budget")</f>
        <v>2024 Proposed Budget</v>
      </c>
      <c r="E4" s="591"/>
      <c r="F4" s="591"/>
      <c r="G4" s="592"/>
    </row>
    <row r="5" spans="1:7" ht="24.95" customHeight="1" x14ac:dyDescent="0.2">
      <c r="A5" s="26"/>
      <c r="B5" s="26"/>
      <c r="C5" s="595" t="s">
        <v>133</v>
      </c>
      <c r="D5" s="595" t="s">
        <v>523</v>
      </c>
      <c r="E5" s="595" t="str">
        <f>CONCATENATE("Amount of ",G1-1,"      Ad Valorem Tax")</f>
        <v>Amount of 2023      Ad Valorem Tax</v>
      </c>
      <c r="F5" s="595" t="s">
        <v>193</v>
      </c>
      <c r="G5" s="595" t="s">
        <v>524</v>
      </c>
    </row>
    <row r="6" spans="1:7" ht="24.95" customHeight="1" x14ac:dyDescent="0.2">
      <c r="A6" s="81" t="s">
        <v>59</v>
      </c>
      <c r="B6" s="44"/>
      <c r="C6" s="596"/>
      <c r="D6" s="596"/>
      <c r="E6" s="569"/>
      <c r="F6" s="596"/>
      <c r="G6" s="596"/>
    </row>
    <row r="7" spans="1:7" x14ac:dyDescent="0.2">
      <c r="A7" s="83" t="s">
        <v>9</v>
      </c>
      <c r="B7" s="84" t="s">
        <v>64</v>
      </c>
      <c r="C7" s="38"/>
      <c r="D7" s="38"/>
      <c r="E7" s="38"/>
      <c r="F7" s="38"/>
      <c r="G7" s="38"/>
    </row>
    <row r="8" spans="1:7" x14ac:dyDescent="0.2">
      <c r="A8" s="85"/>
      <c r="B8" s="59"/>
      <c r="C8" s="59"/>
      <c r="D8" s="59"/>
      <c r="E8" s="59"/>
      <c r="F8" s="59"/>
      <c r="G8" s="77"/>
    </row>
    <row r="9" spans="1:7" x14ac:dyDescent="0.2">
      <c r="A9" s="59"/>
      <c r="B9" s="59"/>
      <c r="C9" s="59"/>
      <c r="D9" s="59"/>
      <c r="E9" s="59"/>
      <c r="F9" s="59"/>
      <c r="G9" s="77"/>
    </row>
    <row r="10" spans="1:7" x14ac:dyDescent="0.2">
      <c r="A10" s="59"/>
      <c r="B10" s="59"/>
      <c r="C10" s="59"/>
      <c r="D10" s="59"/>
      <c r="E10" s="59"/>
      <c r="F10" s="59"/>
      <c r="G10" s="77"/>
    </row>
    <row r="11" spans="1:7" x14ac:dyDescent="0.2">
      <c r="A11" s="59"/>
      <c r="B11" s="59"/>
      <c r="C11" s="59"/>
      <c r="D11" s="59"/>
      <c r="E11" s="59"/>
      <c r="F11" s="59"/>
      <c r="G11" s="77"/>
    </row>
    <row r="12" spans="1:7" x14ac:dyDescent="0.2">
      <c r="A12" s="59"/>
      <c r="B12" s="59"/>
      <c r="C12" s="59"/>
      <c r="D12" s="59"/>
      <c r="E12" s="59"/>
      <c r="F12" s="59"/>
      <c r="G12" s="77"/>
    </row>
    <row r="13" spans="1:7" x14ac:dyDescent="0.2">
      <c r="A13" s="59"/>
      <c r="B13" s="59"/>
      <c r="C13" s="59"/>
      <c r="D13" s="59"/>
      <c r="E13" s="59"/>
      <c r="F13" s="59"/>
      <c r="G13" s="77"/>
    </row>
    <row r="14" spans="1:7" x14ac:dyDescent="0.2">
      <c r="A14" s="59"/>
      <c r="B14" s="59"/>
      <c r="C14" s="59"/>
      <c r="D14" s="59"/>
      <c r="E14" s="59"/>
      <c r="F14" s="59"/>
      <c r="G14" s="77"/>
    </row>
    <row r="15" spans="1:7" x14ac:dyDescent="0.2">
      <c r="A15" s="59"/>
      <c r="B15" s="59"/>
      <c r="C15" s="59"/>
      <c r="D15" s="59"/>
      <c r="E15" s="59"/>
      <c r="F15" s="59"/>
      <c r="G15" s="77"/>
    </row>
    <row r="16" spans="1:7" x14ac:dyDescent="0.2">
      <c r="A16" s="59"/>
      <c r="B16" s="59"/>
      <c r="C16" s="59"/>
      <c r="D16" s="59"/>
      <c r="E16" s="59"/>
      <c r="F16" s="59"/>
      <c r="G16" s="77"/>
    </row>
    <row r="17" spans="1:7" x14ac:dyDescent="0.2">
      <c r="A17" s="59"/>
      <c r="B17" s="59"/>
      <c r="C17" s="59"/>
      <c r="D17" s="59"/>
      <c r="E17" s="59"/>
      <c r="F17" s="59"/>
      <c r="G17" s="77"/>
    </row>
    <row r="18" spans="1:7" x14ac:dyDescent="0.2">
      <c r="A18" s="59"/>
      <c r="B18" s="59"/>
      <c r="C18" s="59"/>
      <c r="D18" s="59"/>
      <c r="E18" s="59"/>
      <c r="F18" s="59"/>
      <c r="G18" s="77"/>
    </row>
    <row r="19" spans="1:7" x14ac:dyDescent="0.2">
      <c r="A19" s="59"/>
      <c r="B19" s="59"/>
      <c r="C19" s="59"/>
      <c r="D19" s="59"/>
      <c r="E19" s="59"/>
      <c r="F19" s="59"/>
      <c r="G19" s="77"/>
    </row>
    <row r="20" spans="1:7" x14ac:dyDescent="0.2">
      <c r="A20" s="59"/>
      <c r="B20" s="59"/>
      <c r="C20" s="59"/>
      <c r="D20" s="59"/>
      <c r="E20" s="59"/>
      <c r="F20" s="59"/>
      <c r="G20" s="77"/>
    </row>
    <row r="21" spans="1:7" x14ac:dyDescent="0.2">
      <c r="A21" s="59"/>
      <c r="B21" s="59"/>
      <c r="C21" s="59"/>
      <c r="D21" s="59"/>
      <c r="E21" s="59"/>
      <c r="F21" s="59"/>
      <c r="G21" s="77"/>
    </row>
    <row r="22" spans="1:7" x14ac:dyDescent="0.2">
      <c r="A22" s="59"/>
      <c r="B22" s="59"/>
      <c r="C22" s="59"/>
      <c r="D22" s="59"/>
      <c r="E22" s="59"/>
      <c r="F22" s="59"/>
      <c r="G22" s="77"/>
    </row>
    <row r="23" spans="1:7" x14ac:dyDescent="0.2">
      <c r="A23" s="59"/>
      <c r="B23" s="59"/>
      <c r="C23" s="59"/>
      <c r="D23" s="59"/>
      <c r="E23" s="59"/>
      <c r="F23" s="59"/>
      <c r="G23" s="77"/>
    </row>
    <row r="24" spans="1:7" x14ac:dyDescent="0.2">
      <c r="A24" s="59"/>
      <c r="B24" s="59"/>
      <c r="C24" s="59"/>
      <c r="D24" s="59"/>
      <c r="E24" s="59"/>
      <c r="F24" s="59"/>
      <c r="G24" s="77"/>
    </row>
    <row r="25" spans="1:7" x14ac:dyDescent="0.2">
      <c r="A25" s="59"/>
      <c r="B25" s="59"/>
      <c r="C25" s="59"/>
      <c r="D25" s="59"/>
      <c r="E25" s="59"/>
      <c r="F25" s="59"/>
      <c r="G25" s="77"/>
    </row>
    <row r="26" spans="1:7" x14ac:dyDescent="0.2">
      <c r="A26" s="59"/>
      <c r="B26" s="59"/>
      <c r="C26" s="59"/>
      <c r="D26" s="59"/>
      <c r="E26" s="59"/>
      <c r="F26" s="59"/>
      <c r="G26" s="77"/>
    </row>
    <row r="27" spans="1:7" x14ac:dyDescent="0.2">
      <c r="A27" s="59"/>
      <c r="B27" s="41"/>
      <c r="C27" s="59"/>
      <c r="D27" s="59"/>
      <c r="E27" s="41"/>
      <c r="F27" s="41"/>
      <c r="G27" s="77"/>
    </row>
    <row r="28" spans="1:7" x14ac:dyDescent="0.2">
      <c r="A28" s="59"/>
      <c r="B28" s="41"/>
      <c r="C28" s="59"/>
      <c r="D28" s="59"/>
      <c r="E28" s="41"/>
      <c r="F28" s="41"/>
      <c r="G28" s="77"/>
    </row>
    <row r="29" spans="1:7" x14ac:dyDescent="0.2">
      <c r="A29" s="59"/>
      <c r="B29" s="41"/>
      <c r="C29" s="59"/>
      <c r="D29" s="59"/>
      <c r="E29" s="41"/>
      <c r="F29" s="41"/>
      <c r="G29" s="77"/>
    </row>
    <row r="30" spans="1:7" x14ac:dyDescent="0.2">
      <c r="A30" s="59"/>
      <c r="B30" s="41"/>
      <c r="C30" s="59"/>
      <c r="D30" s="59"/>
      <c r="E30" s="41"/>
      <c r="F30" s="41"/>
      <c r="G30" s="77"/>
    </row>
    <row r="31" spans="1:7" x14ac:dyDescent="0.2">
      <c r="A31" s="59"/>
      <c r="B31" s="41"/>
      <c r="C31" s="59"/>
      <c r="D31" s="59"/>
      <c r="E31" s="41"/>
      <c r="F31" s="41"/>
      <c r="G31" s="77"/>
    </row>
    <row r="32" spans="1:7" x14ac:dyDescent="0.2">
      <c r="A32" s="59"/>
      <c r="B32" s="41"/>
      <c r="C32" s="59"/>
      <c r="D32" s="59"/>
      <c r="E32" s="41"/>
      <c r="F32" s="41"/>
      <c r="G32" s="77"/>
    </row>
    <row r="33" spans="1:7" x14ac:dyDescent="0.2">
      <c r="A33" s="59"/>
      <c r="B33" s="41"/>
      <c r="C33" s="59"/>
      <c r="D33" s="59"/>
      <c r="E33" s="41"/>
      <c r="F33" s="41"/>
      <c r="G33" s="77"/>
    </row>
    <row r="34" spans="1:7" x14ac:dyDescent="0.2">
      <c r="A34" s="59"/>
      <c r="B34" s="41"/>
      <c r="C34" s="59"/>
      <c r="D34" s="59"/>
      <c r="E34" s="41"/>
      <c r="F34" s="41"/>
      <c r="G34" s="77"/>
    </row>
    <row r="35" spans="1:7" x14ac:dyDescent="0.2">
      <c r="A35" s="59"/>
      <c r="B35" s="41"/>
      <c r="C35" s="59"/>
      <c r="D35" s="59"/>
      <c r="E35" s="41"/>
      <c r="F35" s="41"/>
      <c r="G35" s="77"/>
    </row>
    <row r="36" spans="1:7" x14ac:dyDescent="0.2">
      <c r="A36" s="59"/>
      <c r="B36" s="41"/>
      <c r="C36" s="59"/>
      <c r="D36" s="59"/>
      <c r="E36" s="41"/>
      <c r="F36" s="41"/>
      <c r="G36" s="77"/>
    </row>
    <row r="37" spans="1:7" ht="16.5" thickBot="1" x14ac:dyDescent="0.25">
      <c r="A37" s="465" t="s">
        <v>65</v>
      </c>
      <c r="B37" s="466"/>
      <c r="C37" s="467" t="s">
        <v>66</v>
      </c>
      <c r="D37" s="468">
        <f>SUM(D8:D36)</f>
        <v>0</v>
      </c>
      <c r="E37" s="468">
        <f>SUM(E8:E36)</f>
        <v>0</v>
      </c>
      <c r="F37" s="469"/>
      <c r="G37" s="469"/>
    </row>
    <row r="38" spans="1:7" ht="16.5" thickTop="1" x14ac:dyDescent="0.2">
      <c r="A38" s="25"/>
      <c r="B38" s="26"/>
      <c r="C38" s="155"/>
      <c r="D38" s="201"/>
      <c r="E38" s="201"/>
      <c r="F38" s="216"/>
      <c r="G38" s="216"/>
    </row>
    <row r="39" spans="1:7" x14ac:dyDescent="0.2">
      <c r="A39" s="25"/>
      <c r="B39" s="26"/>
      <c r="C39" s="155"/>
      <c r="D39" s="201"/>
      <c r="E39" s="201"/>
      <c r="F39" s="216"/>
      <c r="G39" s="216"/>
    </row>
    <row r="40" spans="1:7" x14ac:dyDescent="0.2">
      <c r="A40" s="27" t="s">
        <v>931</v>
      </c>
      <c r="B40" s="135">
        <f>G1-1</f>
        <v>2023</v>
      </c>
      <c r="C40" s="26"/>
      <c r="D40" s="547"/>
      <c r="E40" s="26"/>
      <c r="F40" s="26"/>
      <c r="G40" s="26"/>
    </row>
    <row r="41" spans="1:7" x14ac:dyDescent="0.2">
      <c r="A41" s="31"/>
      <c r="B41" s="26"/>
      <c r="C41" s="480"/>
      <c r="D41" s="547"/>
      <c r="E41" s="585"/>
      <c r="F41" s="585"/>
      <c r="G41" s="585"/>
    </row>
    <row r="42" spans="1:7" x14ac:dyDescent="0.2">
      <c r="A42" s="174"/>
      <c r="B42" s="26"/>
      <c r="C42" s="480"/>
      <c r="D42" s="547"/>
      <c r="E42" s="600"/>
      <c r="F42" s="600"/>
      <c r="G42" s="600"/>
    </row>
    <row r="43" spans="1:7" x14ac:dyDescent="0.2">
      <c r="A43" s="484" t="s">
        <v>69</v>
      </c>
      <c r="B43" s="26"/>
      <c r="C43" s="32"/>
      <c r="D43" s="547"/>
      <c r="E43" s="26"/>
      <c r="F43" s="26"/>
      <c r="G43" s="26"/>
    </row>
    <row r="44" spans="1:7" x14ac:dyDescent="0.2">
      <c r="A44" s="25"/>
      <c r="B44" s="26"/>
      <c r="C44" s="155"/>
      <c r="D44" s="26"/>
      <c r="E44" s="26"/>
      <c r="F44" s="57"/>
      <c r="G44" s="26"/>
    </row>
    <row r="45" spans="1:7" x14ac:dyDescent="0.2">
      <c r="A45" s="25"/>
      <c r="B45" s="26"/>
      <c r="C45" s="57"/>
      <c r="D45" s="26"/>
      <c r="E45" s="26"/>
      <c r="F45" s="26"/>
      <c r="G45" s="26"/>
    </row>
    <row r="46" spans="1:7" x14ac:dyDescent="0.2">
      <c r="A46" s="416" t="s">
        <v>341</v>
      </c>
      <c r="B46" s="341"/>
      <c r="C46" s="341"/>
      <c r="D46" s="341"/>
      <c r="E46" s="341"/>
      <c r="F46" s="341"/>
      <c r="G46" s="391"/>
    </row>
    <row r="47" spans="1:7" x14ac:dyDescent="0.2">
      <c r="A47" s="392"/>
      <c r="B47" s="53"/>
      <c r="C47" s="390"/>
      <c r="D47" s="53"/>
      <c r="E47" s="53"/>
      <c r="F47" s="53"/>
      <c r="G47" s="307"/>
    </row>
    <row r="48" spans="1:7" x14ac:dyDescent="0.2">
      <c r="A48" s="393"/>
      <c r="B48" s="394"/>
      <c r="C48" s="394"/>
      <c r="D48" s="394"/>
      <c r="E48" s="394"/>
      <c r="F48" s="394"/>
      <c r="G48" s="395"/>
    </row>
    <row r="49" spans="1:7" x14ac:dyDescent="0.2">
      <c r="A49" s="27"/>
      <c r="B49" s="53"/>
      <c r="C49" s="390"/>
      <c r="D49" s="53"/>
      <c r="E49" s="53"/>
      <c r="F49" s="53"/>
      <c r="G49" s="53"/>
    </row>
    <row r="59" spans="1:7" x14ac:dyDescent="0.2">
      <c r="A59" s="56"/>
      <c r="B59" s="56"/>
      <c r="C59" s="56"/>
      <c r="D59" s="56"/>
      <c r="E59" s="56"/>
      <c r="F59" s="56"/>
      <c r="G59" s="56"/>
    </row>
    <row r="63" spans="1:7" x14ac:dyDescent="0.2">
      <c r="A63" s="56"/>
      <c r="B63" s="56"/>
      <c r="C63" s="56"/>
      <c r="D63" s="87"/>
      <c r="E63" s="56"/>
      <c r="F63" s="56"/>
      <c r="G63" s="56"/>
    </row>
  </sheetData>
  <sheetProtection sheet="1" objects="1" scenarios="1"/>
  <mergeCells count="9">
    <mergeCell ref="E41:G41"/>
    <mergeCell ref="E42:G42"/>
    <mergeCell ref="E5:E6"/>
    <mergeCell ref="F5:F6"/>
    <mergeCell ref="A2:G2"/>
    <mergeCell ref="D4:G4"/>
    <mergeCell ref="C5:C6"/>
    <mergeCell ref="D5:D6"/>
    <mergeCell ref="G5:G6"/>
  </mergeCells>
  <phoneticPr fontId="0" type="noConversion"/>
  <pageMargins left="0.5" right="0.5" top="0" bottom="0.23" header="0" footer="0"/>
  <pageSetup scale="91" orientation="portrait" blackAndWhite="1" horizontalDpi="120" verticalDpi="144" r:id="rId1"/>
  <headerFooter alignWithMargins="0">
    <oddHeader xml:space="preserve">&amp;RState of Kansas
County
</oddHeader>
    <oddFooter>&amp;CPage No. 1a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K55"/>
  <sheetViews>
    <sheetView workbookViewId="0"/>
  </sheetViews>
  <sheetFormatPr defaultRowHeight="15.75" x14ac:dyDescent="0.25"/>
  <cols>
    <col min="1" max="1" width="18.77734375" style="2" customWidth="1"/>
    <col min="2" max="2" width="12.77734375" style="2" customWidth="1"/>
    <col min="3" max="3" width="0.21875" style="2" customWidth="1"/>
    <col min="4" max="8" width="11.77734375" style="2" customWidth="1"/>
    <col min="9" max="16384" width="8.88671875" style="2"/>
  </cols>
  <sheetData>
    <row r="1" spans="1:8" x14ac:dyDescent="0.25">
      <c r="A1" s="15" t="str">
        <f>inputPrYr!C3</f>
        <v>Doniphan County</v>
      </c>
      <c r="B1" s="9"/>
      <c r="C1" s="9"/>
      <c r="D1" s="9"/>
      <c r="E1" s="9"/>
      <c r="F1" s="8"/>
      <c r="G1" s="8"/>
      <c r="H1" s="17">
        <f>inputPrYr!C5</f>
        <v>2024</v>
      </c>
    </row>
    <row r="2" spans="1:8" x14ac:dyDescent="0.25">
      <c r="A2" s="9"/>
      <c r="B2" s="9"/>
      <c r="C2" s="9"/>
      <c r="D2" s="9"/>
      <c r="E2" s="9"/>
      <c r="F2" s="8"/>
      <c r="G2" s="8"/>
      <c r="H2" s="8"/>
    </row>
    <row r="3" spans="1:8" x14ac:dyDescent="0.25">
      <c r="A3" s="605" t="s">
        <v>328</v>
      </c>
      <c r="B3" s="605"/>
      <c r="C3" s="605"/>
      <c r="D3" s="605"/>
      <c r="E3" s="605"/>
      <c r="F3" s="605"/>
      <c r="G3" s="605"/>
      <c r="H3" s="605"/>
    </row>
    <row r="4" spans="1:8" x14ac:dyDescent="0.25">
      <c r="A4" s="11"/>
      <c r="B4" s="12"/>
      <c r="C4" s="12"/>
      <c r="D4" s="12"/>
      <c r="E4" s="12"/>
      <c r="F4" s="9"/>
      <c r="G4" s="9"/>
      <c r="H4" s="9"/>
    </row>
    <row r="5" spans="1:8" ht="21.75" customHeight="1" x14ac:dyDescent="0.25">
      <c r="A5" s="610" t="str">
        <f>CONCATENATE("Budgeted Funds for ",H1-1,"")</f>
        <v>Budgeted Funds for 2023</v>
      </c>
      <c r="B5" s="595" t="str">
        <f>CONCATENATE("Ad Valorem Levy Tax Year ",H1-2,"")</f>
        <v>Ad Valorem Levy Tax Year 2022</v>
      </c>
      <c r="C5" s="606" t="str">
        <f>CONCATENATE("Budget Tax Levy Rate for ",H1-1,"")</f>
        <v>Budget Tax Levy Rate for 2023</v>
      </c>
      <c r="D5" s="590" t="str">
        <f>CONCATENATE("Allocation for Year ",H1,"")</f>
        <v>Allocation for Year 2024</v>
      </c>
      <c r="E5" s="608"/>
      <c r="F5" s="608"/>
      <c r="G5" s="608"/>
      <c r="H5" s="609"/>
    </row>
    <row r="6" spans="1:8" x14ac:dyDescent="0.25">
      <c r="A6" s="611"/>
      <c r="B6" s="569"/>
      <c r="C6" s="607"/>
      <c r="D6" s="82" t="s">
        <v>76</v>
      </c>
      <c r="E6" s="82" t="s">
        <v>175</v>
      </c>
      <c r="F6" s="82" t="s">
        <v>181</v>
      </c>
      <c r="G6" s="382" t="s">
        <v>326</v>
      </c>
      <c r="H6" s="382" t="s">
        <v>327</v>
      </c>
    </row>
    <row r="7" spans="1:8" x14ac:dyDescent="0.25">
      <c r="A7" s="14" t="str">
        <f>(inputPrYr!B17)</f>
        <v>General</v>
      </c>
      <c r="B7" s="78">
        <f>(inputPrYr!E17)</f>
        <v>2214933</v>
      </c>
      <c r="C7" s="462">
        <f>IF(inputPrYr!F17&gt;0,(inputPrYr!F17),"  ")</f>
        <v>13.987</v>
      </c>
      <c r="D7" s="78">
        <v>125976</v>
      </c>
      <c r="E7" s="78">
        <v>2840</v>
      </c>
      <c r="F7" s="78">
        <v>23664</v>
      </c>
      <c r="G7" s="78">
        <v>7314</v>
      </c>
      <c r="H7" s="78">
        <v>1482</v>
      </c>
    </row>
    <row r="8" spans="1:8" x14ac:dyDescent="0.25">
      <c r="A8" s="14" t="str">
        <f>(inputPrYr!B18)</f>
        <v>Debt Service</v>
      </c>
      <c r="B8" s="78" t="str">
        <f>IF(inputPrYr!E18&gt;0,inputPrYr!E18," ")</f>
        <v xml:space="preserve"> </v>
      </c>
      <c r="C8" s="462" t="str">
        <f>IF(inputPrYr!F18&gt;0,(inputPrYr!F18),"  ")</f>
        <v xml:space="preserve">  </v>
      </c>
      <c r="D8" s="78" t="str">
        <f>IF(inputPrYr!$E$18&gt;0,ROUND(+B8*D$45,0)," ")</f>
        <v xml:space="preserve"> </v>
      </c>
      <c r="E8" s="78" t="str">
        <f>IF(inputPrYr!$E$18&gt;0,ROUND(+B8*E$47,0)," ")</f>
        <v xml:space="preserve"> </v>
      </c>
      <c r="F8" s="78" t="str">
        <f>IF(inputPrYr!$E$18&gt;0,ROUND(+B8*F$49,0)," ")</f>
        <v xml:space="preserve"> </v>
      </c>
      <c r="G8" s="78" t="str">
        <f>IF(inputPrYr!$E$18&gt;0,ROUND(B8*G$51,0)," ")</f>
        <v xml:space="preserve"> </v>
      </c>
      <c r="H8" s="78" t="str">
        <f>IF(inputPrYr!$E$18&gt;0,ROUND(B8*H$53,0)," ")</f>
        <v xml:space="preserve"> </v>
      </c>
    </row>
    <row r="9" spans="1:8" x14ac:dyDescent="0.25">
      <c r="A9" s="14" t="str">
        <f>(inputPrYr!B19)</f>
        <v>Road &amp; Bridge</v>
      </c>
      <c r="B9" s="78">
        <f>IF(inputPrYr!E19&gt;0,inputPrYr!E19," ")</f>
        <v>2249882</v>
      </c>
      <c r="C9" s="462">
        <f>IF(inputPrYr!F19&gt;0,(inputPrYr!F19),"  ")</f>
        <v>14.208</v>
      </c>
      <c r="D9" s="78">
        <v>127965</v>
      </c>
      <c r="E9" s="78">
        <v>2887</v>
      </c>
      <c r="F9" s="78">
        <v>24038</v>
      </c>
      <c r="G9" s="78">
        <v>7432</v>
      </c>
      <c r="H9" s="78">
        <v>1506</v>
      </c>
    </row>
    <row r="10" spans="1:8" x14ac:dyDescent="0.25">
      <c r="A10" s="14" t="str">
        <f>IF((inputPrYr!$B20&gt;" "),(inputPrYr!$B20),"  ")</f>
        <v>Fair</v>
      </c>
      <c r="B10" s="78">
        <f>IF(inputPrYr!E20&gt;0,inputPrYr!E20,"  ")</f>
        <v>18368</v>
      </c>
      <c r="C10" s="462">
        <f>IF(inputPrYr!F20&gt;0,(inputPrYr!F20),"  ")</f>
        <v>0.11600000000000001</v>
      </c>
      <c r="D10" s="78">
        <v>1045</v>
      </c>
      <c r="E10" s="78">
        <v>24</v>
      </c>
      <c r="F10" s="78">
        <v>196</v>
      </c>
      <c r="G10" s="78">
        <v>61</v>
      </c>
      <c r="H10" s="78">
        <v>12</v>
      </c>
    </row>
    <row r="11" spans="1:8" x14ac:dyDescent="0.25">
      <c r="A11" s="14" t="str">
        <f>IF((inputPrYr!$B21&gt;" "),(inputPrYr!$B21),"  ")</f>
        <v>Conservation</v>
      </c>
      <c r="B11" s="78">
        <f>IF(inputPrYr!E21&gt;0,inputPrYr!E21,"  ")</f>
        <v>32600</v>
      </c>
      <c r="C11" s="462">
        <f>IF(inputPrYr!F21&gt;0,(inputPrYr!F21),"  ")</f>
        <v>0.20599999999999999</v>
      </c>
      <c r="D11" s="78">
        <v>1854</v>
      </c>
      <c r="E11" s="78">
        <v>42</v>
      </c>
      <c r="F11" s="78">
        <v>348</v>
      </c>
      <c r="G11" s="78">
        <v>108</v>
      </c>
      <c r="H11" s="78">
        <v>22</v>
      </c>
    </row>
    <row r="12" spans="1:8" x14ac:dyDescent="0.25">
      <c r="A12" s="14" t="str">
        <f>IF((inputPrYr!$B22&gt;" "),(inputPrYr!$B22),"  ")</f>
        <v>Appraiser</v>
      </c>
      <c r="B12" s="78">
        <f>IF(inputPrYr!E22&gt;0,inputPrYr!E22,"  ")</f>
        <v>296285</v>
      </c>
      <c r="C12" s="462">
        <f>IF(inputPrYr!F22&gt;0,(inputPrYr!F22),"  ")</f>
        <v>1.871</v>
      </c>
      <c r="D12" s="78">
        <v>16852</v>
      </c>
      <c r="E12" s="78">
        <v>380</v>
      </c>
      <c r="F12" s="78">
        <v>3166</v>
      </c>
      <c r="G12" s="78">
        <v>979</v>
      </c>
      <c r="H12" s="78">
        <v>198</v>
      </c>
    </row>
    <row r="13" spans="1:8" x14ac:dyDescent="0.25">
      <c r="A13" s="14" t="str">
        <f>IF((inputPrYr!$B23&gt;" "),(inputPrYr!$B23),"  ")</f>
        <v>Noxious Weed</v>
      </c>
      <c r="B13" s="78">
        <f>IF(inputPrYr!E23&gt;0,inputPrYr!E23,"  ")</f>
        <v>82249</v>
      </c>
      <c r="C13" s="462">
        <f>IF(inputPrYr!F23&gt;0,(inputPrYr!F23),"  ")</f>
        <v>0.51900000000000002</v>
      </c>
      <c r="D13" s="78">
        <v>4678</v>
      </c>
      <c r="E13" s="78">
        <v>106</v>
      </c>
      <c r="F13" s="78">
        <v>879</v>
      </c>
      <c r="G13" s="78">
        <v>272</v>
      </c>
      <c r="H13" s="78">
        <v>55</v>
      </c>
    </row>
    <row r="14" spans="1:8" x14ac:dyDescent="0.25">
      <c r="A14" s="14" t="str">
        <f>IF((inputPrYr!$B24&gt;" "),(inputPrYr!$B24),"  ")</f>
        <v>Noxious Weed Chemical</v>
      </c>
      <c r="B14" s="78">
        <f>IF(inputPrYr!E24&gt;0,inputPrYr!E24,"  ")</f>
        <v>65401</v>
      </c>
      <c r="C14" s="462">
        <f>IF(inputPrYr!F24&gt;0,(inputPrYr!F24),"  ")</f>
        <v>0.41299999999999998</v>
      </c>
      <c r="D14" s="78">
        <v>3720</v>
      </c>
      <c r="E14" s="78">
        <v>84</v>
      </c>
      <c r="F14" s="78">
        <v>699</v>
      </c>
      <c r="G14" s="78">
        <v>216</v>
      </c>
      <c r="H14" s="78">
        <v>44</v>
      </c>
    </row>
    <row r="15" spans="1:8" x14ac:dyDescent="0.25">
      <c r="A15" s="14" t="str">
        <f>IF((inputPrYr!$B25&gt;" "),(inputPrYr!$B25),"  ")</f>
        <v>Election</v>
      </c>
      <c r="B15" s="78">
        <f>IF(inputPrYr!E25&gt;0,inputPrYr!E25,"  ")</f>
        <v>23784</v>
      </c>
      <c r="C15" s="462">
        <f>IF(inputPrYr!F25&gt;0,(inputPrYr!F25),"  ")</f>
        <v>0.15</v>
      </c>
      <c r="D15" s="78">
        <v>1353</v>
      </c>
      <c r="E15" s="78">
        <v>31</v>
      </c>
      <c r="F15" s="78">
        <v>254</v>
      </c>
      <c r="G15" s="78">
        <v>79</v>
      </c>
      <c r="H15" s="78">
        <v>16</v>
      </c>
    </row>
    <row r="16" spans="1:8" x14ac:dyDescent="0.25">
      <c r="A16" s="14" t="str">
        <f>IF((inputPrYr!$B26&gt;" "),(inputPrYr!$B26),"  ")</f>
        <v>Extension Council</v>
      </c>
      <c r="B16" s="78">
        <f>IF(inputPrYr!E26&gt;0,inputPrYr!E26,"  ")</f>
        <v>126989</v>
      </c>
      <c r="C16" s="462">
        <f>IF(inputPrYr!F26&gt;0,(inputPrYr!F26),"  ")</f>
        <v>0.80200000000000005</v>
      </c>
      <c r="D16" s="78">
        <v>7223</v>
      </c>
      <c r="E16" s="78">
        <v>163</v>
      </c>
      <c r="F16" s="78">
        <v>1357</v>
      </c>
      <c r="G16" s="78">
        <v>419</v>
      </c>
      <c r="H16" s="78">
        <v>85</v>
      </c>
    </row>
    <row r="17" spans="1:11" x14ac:dyDescent="0.25">
      <c r="A17" s="14" t="str">
        <f>IF((inputPrYr!$B27&gt;" "),(inputPrYr!$B27),"  ")</f>
        <v>Elderly</v>
      </c>
      <c r="B17" s="78">
        <f>IF(inputPrYr!E27&gt;0,inputPrYr!E27,"  ")</f>
        <v>240097</v>
      </c>
      <c r="C17" s="462">
        <f>IF(inputPrYr!F27&gt;0,(inputPrYr!F27),"  ")</f>
        <v>1.516</v>
      </c>
      <c r="D17" s="78">
        <v>13656</v>
      </c>
      <c r="E17" s="78">
        <v>308</v>
      </c>
      <c r="F17" s="78">
        <v>2565</v>
      </c>
      <c r="G17" s="78">
        <v>793</v>
      </c>
      <c r="H17" s="78">
        <v>161</v>
      </c>
    </row>
    <row r="18" spans="1:11" x14ac:dyDescent="0.25">
      <c r="A18" s="14" t="str">
        <f>IF((inputPrYr!$B28&gt;" "),(inputPrYr!$B28),"  ")</f>
        <v>Economic Development</v>
      </c>
      <c r="B18" s="78">
        <f>IF(inputPrYr!E28&gt;0,inputPrYr!E28,"  ")</f>
        <v>79239</v>
      </c>
      <c r="C18" s="462">
        <f>IF(inputPrYr!F28&gt;0,(inputPrYr!F28),"  ")</f>
        <v>0.5</v>
      </c>
      <c r="D18" s="78">
        <v>4507</v>
      </c>
      <c r="E18" s="78">
        <v>102</v>
      </c>
      <c r="F18" s="78">
        <v>847</v>
      </c>
      <c r="G18" s="78">
        <v>262</v>
      </c>
      <c r="H18" s="78">
        <v>53</v>
      </c>
    </row>
    <row r="19" spans="1:11" x14ac:dyDescent="0.25">
      <c r="A19" s="14" t="str">
        <f>IF((inputPrYr!$B29&gt;" "),(inputPrYr!$B29),"  ")</f>
        <v>Health</v>
      </c>
      <c r="B19" s="78">
        <f>IF(inputPrYr!E29&gt;0,inputPrYr!E29,"  ")</f>
        <v>141928</v>
      </c>
      <c r="C19" s="462">
        <f>IF(inputPrYr!F29&gt;0,(inputPrYr!F29),"  ")</f>
        <v>0.89700000000000002</v>
      </c>
      <c r="D19" s="78">
        <v>8072</v>
      </c>
      <c r="E19" s="78">
        <v>182</v>
      </c>
      <c r="F19" s="78">
        <v>1516</v>
      </c>
      <c r="G19" s="78">
        <v>469</v>
      </c>
      <c r="H19" s="78">
        <v>95</v>
      </c>
      <c r="K19" s="464"/>
    </row>
    <row r="20" spans="1:11" x14ac:dyDescent="0.25">
      <c r="A20" s="14" t="str">
        <f>IF((inputPrYr!$B30&gt;" "),(inputPrYr!$B30),"  ")</f>
        <v>Mental Health Workshop</v>
      </c>
      <c r="B20" s="78">
        <f>IF(inputPrYr!E30&gt;0,inputPrYr!E30,"  ")</f>
        <v>27759</v>
      </c>
      <c r="C20" s="462">
        <f>IF(inputPrYr!F30&gt;0,(inputPrYr!F30),"  ")</f>
        <v>0.17499999999999999</v>
      </c>
      <c r="D20" s="78">
        <v>1579</v>
      </c>
      <c r="E20" s="78">
        <v>36</v>
      </c>
      <c r="F20" s="78">
        <v>297</v>
      </c>
      <c r="G20" s="78">
        <v>92</v>
      </c>
      <c r="H20" s="78">
        <v>19</v>
      </c>
    </row>
    <row r="21" spans="1:11" x14ac:dyDescent="0.25">
      <c r="A21" s="14" t="str">
        <f>IF((inputPrYr!$B31&gt;" "),(inputPrYr!$B31),"  ")</f>
        <v>Community Mental Health</v>
      </c>
      <c r="B21" s="78">
        <f>IF(inputPrYr!E31&gt;0,inputPrYr!E31,"  ")</f>
        <v>27751</v>
      </c>
      <c r="C21" s="462">
        <f>IF(inputPrYr!F31&gt;0,(inputPrYr!F31),"  ")</f>
        <v>0.17599999999999999</v>
      </c>
      <c r="D21" s="78">
        <v>1578</v>
      </c>
      <c r="E21" s="78">
        <v>36</v>
      </c>
      <c r="F21" s="78">
        <v>296</v>
      </c>
      <c r="G21" s="78">
        <v>92</v>
      </c>
      <c r="H21" s="78">
        <v>19</v>
      </c>
    </row>
    <row r="22" spans="1:11" x14ac:dyDescent="0.25">
      <c r="A22" s="14" t="str">
        <f>IF((inputPrYr!$B32&gt;" "),(inputPrYr!$B32),"  ")</f>
        <v>Employee Benefit</v>
      </c>
      <c r="B22" s="78">
        <f>IF(inputPrYr!E32&gt;0,inputPrYr!E32,"  ")</f>
        <v>223421</v>
      </c>
      <c r="C22" s="462">
        <f>IF(inputPrYr!F32&gt;0,(inputPrYr!F32),"  ")</f>
        <v>1.411</v>
      </c>
      <c r="D22" s="78">
        <v>12707</v>
      </c>
      <c r="E22" s="78">
        <v>287</v>
      </c>
      <c r="F22" s="78">
        <v>2387</v>
      </c>
      <c r="G22" s="78">
        <v>738</v>
      </c>
      <c r="H22" s="78">
        <v>150</v>
      </c>
    </row>
    <row r="23" spans="1:11" x14ac:dyDescent="0.25">
      <c r="A23" s="14" t="str">
        <f>IF((inputPrYr!$B33&gt;" "),(inputPrYr!$B33),"  ")</f>
        <v>Bond &amp; Interest</v>
      </c>
      <c r="B23" s="78" t="str">
        <f>IF(inputPrYr!E33&gt;0,inputPrYr!E33,"  ")</f>
        <v xml:space="preserve">  </v>
      </c>
      <c r="C23" s="462" t="str">
        <f>IF(inputPrYr!F33&gt;0,(inputPrYr!F33),"  ")</f>
        <v xml:space="preserve">  </v>
      </c>
      <c r="D23" s="78" t="str">
        <f>IF(inputPrYr!E33&gt;0,ROUND(+B23*D$45,0),"  ")</f>
        <v xml:space="preserve">  </v>
      </c>
      <c r="E23" s="78" t="str">
        <f>IF(inputPrYr!E33&gt;0,ROUND(+B23*E$47,0),"  ")</f>
        <v xml:space="preserve">  </v>
      </c>
      <c r="F23" s="78" t="str">
        <f>IF(inputPrYr!E33&gt;0,ROUND(+B23*F$49,0),"  ")</f>
        <v xml:space="preserve">  </v>
      </c>
      <c r="G23" s="78" t="str">
        <f>IF(inputPrYr!E33&gt;0,ROUND(B23*G$51,0),"  ")</f>
        <v xml:space="preserve">  </v>
      </c>
      <c r="H23" s="78" t="str">
        <f>IF(inputPrYr!E33&gt;0,ROUND(B23*H$53,0),"  ")</f>
        <v xml:space="preserve">  </v>
      </c>
    </row>
    <row r="24" spans="1:11" x14ac:dyDescent="0.25">
      <c r="A24" s="14" t="str">
        <f>IF((inputPrYr!$B36&gt;" "),(inputPrYr!$B36),"  ")</f>
        <v>Capital Improvement</v>
      </c>
      <c r="B24" s="78"/>
      <c r="C24" s="462"/>
      <c r="D24" s="78"/>
      <c r="E24" s="78"/>
      <c r="F24" s="78"/>
      <c r="G24" s="78"/>
      <c r="H24" s="78"/>
    </row>
    <row r="25" spans="1:11" x14ac:dyDescent="0.25">
      <c r="A25" s="14" t="str">
        <f>IF((inputPrYr!$B37&gt;" "),(inputPrYr!$B37),"  ")</f>
        <v>Diversion</v>
      </c>
      <c r="B25" s="78"/>
      <c r="C25" s="462"/>
      <c r="D25" s="78"/>
      <c r="E25" s="78"/>
      <c r="F25" s="78"/>
      <c r="G25" s="78"/>
      <c r="H25" s="78"/>
    </row>
    <row r="26" spans="1:11" x14ac:dyDescent="0.25">
      <c r="A26" s="14" t="str">
        <f>IF((inputPrYr!$B38&gt;" "),(inputPrYr!$B38),"  ")</f>
        <v>Solid Waste</v>
      </c>
      <c r="B26" s="78"/>
      <c r="C26" s="462"/>
      <c r="D26" s="78"/>
      <c r="E26" s="78"/>
      <c r="F26" s="78"/>
      <c r="G26" s="78"/>
      <c r="H26" s="78"/>
    </row>
    <row r="27" spans="1:11" x14ac:dyDescent="0.25">
      <c r="A27" s="14" t="str">
        <f>IF((inputPrYr!$B39&gt;" "),(inputPrYr!$B39),"  ")</f>
        <v>Central Kitchen</v>
      </c>
      <c r="B27" s="78"/>
      <c r="C27" s="462"/>
      <c r="D27" s="78"/>
      <c r="E27" s="78"/>
      <c r="F27" s="78"/>
      <c r="G27" s="78"/>
      <c r="H27" s="78"/>
    </row>
    <row r="28" spans="1:11" x14ac:dyDescent="0.25">
      <c r="A28" s="14" t="str">
        <f>IF((inputPrYr!$B40&gt;" "),(inputPrYr!$B40),"  ")</f>
        <v>Title III</v>
      </c>
      <c r="B28" s="78"/>
      <c r="C28" s="462"/>
      <c r="D28" s="78"/>
      <c r="E28" s="78"/>
      <c r="F28" s="78"/>
      <c r="G28" s="78"/>
      <c r="H28" s="78"/>
    </row>
    <row r="29" spans="1:11" x14ac:dyDescent="0.25">
      <c r="A29" s="14" t="str">
        <f>IF((inputPrYr!$B41&gt;" "),(inputPrYr!$B41),"  ")</f>
        <v>Local Alcoholic Liquor</v>
      </c>
      <c r="B29" s="78"/>
      <c r="C29" s="462"/>
      <c r="D29" s="78"/>
      <c r="E29" s="78"/>
      <c r="F29" s="78"/>
      <c r="G29" s="78"/>
      <c r="H29" s="78"/>
    </row>
    <row r="30" spans="1:11" x14ac:dyDescent="0.25">
      <c r="A30" s="14" t="str">
        <f>IF((inputPrYr!$B42&gt;" "),(inputPrYr!$B42),"  ")</f>
        <v>New Sales Tax</v>
      </c>
      <c r="B30" s="78"/>
      <c r="C30" s="462"/>
      <c r="D30" s="78"/>
      <c r="E30" s="78"/>
      <c r="F30" s="78"/>
      <c r="G30" s="78"/>
      <c r="H30" s="78"/>
    </row>
    <row r="31" spans="1:11" x14ac:dyDescent="0.25">
      <c r="A31" s="14" t="e">
        <f>IF((inputPrYr!#REF!&gt;" "),(inputPrYr!#REF!),"  ")</f>
        <v>#REF!</v>
      </c>
      <c r="B31" s="78"/>
      <c r="C31" s="462"/>
      <c r="D31" s="78"/>
      <c r="E31" s="78"/>
      <c r="F31" s="78"/>
      <c r="G31" s="78"/>
      <c r="H31" s="78"/>
    </row>
    <row r="32" spans="1:11" ht="16.5" thickBot="1" x14ac:dyDescent="0.3">
      <c r="A32" s="34" t="s">
        <v>73</v>
      </c>
      <c r="B32" s="461"/>
      <c r="C32" s="463"/>
      <c r="D32" s="461"/>
      <c r="E32" s="461"/>
      <c r="F32" s="461"/>
      <c r="G32" s="461"/>
      <c r="H32" s="461"/>
    </row>
    <row r="33" spans="1:8" ht="16.5" thickTop="1" x14ac:dyDescent="0.25">
      <c r="A33" s="10"/>
      <c r="B33" s="21"/>
      <c r="C33" s="22"/>
      <c r="D33" s="21"/>
      <c r="E33" s="21"/>
      <c r="F33" s="21"/>
      <c r="G33" s="21"/>
      <c r="H33" s="21"/>
    </row>
    <row r="34" spans="1:8" x14ac:dyDescent="0.25">
      <c r="A34" s="25" t="s">
        <v>74</v>
      </c>
      <c r="B34" s="19"/>
      <c r="C34" s="19"/>
      <c r="D34" s="20">
        <f>(inputOth!E18)</f>
        <v>332765</v>
      </c>
      <c r="E34" s="19"/>
      <c r="F34" s="16"/>
      <c r="G34" s="16"/>
      <c r="H34" s="16"/>
    </row>
    <row r="35" spans="1:8" x14ac:dyDescent="0.25">
      <c r="A35" s="25"/>
      <c r="B35" s="19"/>
      <c r="C35" s="19"/>
      <c r="D35" s="21"/>
      <c r="E35" s="19"/>
      <c r="F35" s="16"/>
      <c r="G35" s="16"/>
      <c r="H35" s="16"/>
    </row>
    <row r="36" spans="1:8" x14ac:dyDescent="0.25">
      <c r="A36" s="384" t="s">
        <v>329</v>
      </c>
      <c r="B36" s="16"/>
      <c r="C36" s="16"/>
      <c r="D36" s="16"/>
      <c r="E36" s="20">
        <f>(inputOth!E19)</f>
        <v>7508</v>
      </c>
      <c r="F36" s="16"/>
      <c r="G36" s="16"/>
      <c r="H36" s="16"/>
    </row>
    <row r="37" spans="1:8" x14ac:dyDescent="0.25">
      <c r="A37" s="25"/>
      <c r="B37" s="16"/>
      <c r="C37" s="16"/>
      <c r="D37" s="16"/>
      <c r="E37" s="21"/>
      <c r="F37" s="16"/>
      <c r="G37" s="16"/>
      <c r="H37" s="16"/>
    </row>
    <row r="38" spans="1:8" x14ac:dyDescent="0.25">
      <c r="A38" s="384" t="s">
        <v>330</v>
      </c>
      <c r="B38" s="16"/>
      <c r="C38" s="16"/>
      <c r="D38" s="16"/>
      <c r="E38" s="16"/>
      <c r="F38" s="20">
        <f>inputOth!E20</f>
        <v>62509</v>
      </c>
      <c r="G38" s="21"/>
      <c r="H38" s="21"/>
    </row>
    <row r="39" spans="1:8" x14ac:dyDescent="0.25">
      <c r="A39" s="25"/>
      <c r="B39" s="16"/>
      <c r="C39" s="16"/>
      <c r="D39" s="16"/>
      <c r="E39" s="16"/>
      <c r="F39" s="21"/>
      <c r="G39" s="21"/>
      <c r="H39" s="21"/>
    </row>
    <row r="40" spans="1:8" x14ac:dyDescent="0.25">
      <c r="A40" s="383" t="s">
        <v>331</v>
      </c>
      <c r="B40" s="16"/>
      <c r="C40" s="16"/>
      <c r="D40" s="16"/>
      <c r="E40" s="16"/>
      <c r="F40" s="21"/>
      <c r="G40" s="20">
        <f>inputOth!E21</f>
        <v>19326</v>
      </c>
      <c r="H40" s="21"/>
    </row>
    <row r="41" spans="1:8" x14ac:dyDescent="0.25">
      <c r="A41" s="25"/>
      <c r="B41" s="16"/>
      <c r="C41" s="16"/>
      <c r="D41" s="16"/>
      <c r="E41" s="16"/>
      <c r="F41" s="21"/>
      <c r="G41" s="21"/>
      <c r="H41" s="21"/>
    </row>
    <row r="42" spans="1:8" x14ac:dyDescent="0.25">
      <c r="A42" s="383" t="s">
        <v>332</v>
      </c>
      <c r="B42" s="16"/>
      <c r="C42" s="16"/>
      <c r="D42" s="16"/>
      <c r="E42" s="16"/>
      <c r="F42" s="21"/>
      <c r="G42" s="21"/>
      <c r="H42" s="20">
        <f>inputOth!E22</f>
        <v>3917</v>
      </c>
    </row>
    <row r="43" spans="1:8" x14ac:dyDescent="0.25">
      <c r="A43" s="377"/>
      <c r="B43" s="378"/>
      <c r="C43" s="378"/>
      <c r="D43" s="378"/>
      <c r="E43" s="378"/>
      <c r="F43" s="378"/>
      <c r="G43" s="378"/>
      <c r="H43" s="378"/>
    </row>
    <row r="44" spans="1:8" x14ac:dyDescent="0.25">
      <c r="A44" s="377"/>
      <c r="B44" s="378"/>
      <c r="C44" s="378"/>
      <c r="D44" s="378"/>
      <c r="E44" s="378"/>
      <c r="F44" s="378"/>
      <c r="G44" s="378"/>
      <c r="H44" s="378"/>
    </row>
    <row r="45" spans="1:8" x14ac:dyDescent="0.25">
      <c r="A45" s="379" t="s">
        <v>75</v>
      </c>
      <c r="B45" s="378"/>
      <c r="C45" s="378"/>
      <c r="D45" s="380">
        <f>IF(B32=0,0,D34/B32)</f>
        <v>0</v>
      </c>
      <c r="E45" s="378"/>
      <c r="F45" s="378"/>
      <c r="G45" s="378"/>
      <c r="H45" s="378"/>
    </row>
    <row r="46" spans="1:8" x14ac:dyDescent="0.25">
      <c r="A46" s="379"/>
      <c r="B46" s="378"/>
      <c r="C46" s="378"/>
      <c r="D46" s="381"/>
      <c r="E46" s="378"/>
      <c r="F46" s="378"/>
      <c r="G46" s="378"/>
      <c r="H46" s="378"/>
    </row>
    <row r="47" spans="1:8" x14ac:dyDescent="0.25">
      <c r="A47" s="379" t="s">
        <v>191</v>
      </c>
      <c r="B47" s="378"/>
      <c r="C47" s="378"/>
      <c r="D47" s="378"/>
      <c r="E47" s="380">
        <f>IF(B32=0,0,E36/B32)</f>
        <v>0</v>
      </c>
      <c r="F47" s="378"/>
      <c r="G47" s="378"/>
      <c r="H47" s="378"/>
    </row>
    <row r="48" spans="1:8" x14ac:dyDescent="0.25">
      <c r="A48" s="379"/>
      <c r="B48" s="378"/>
      <c r="C48" s="378"/>
      <c r="D48" s="378"/>
      <c r="E48" s="381"/>
      <c r="F48" s="378"/>
      <c r="G48" s="378"/>
      <c r="H48" s="378"/>
    </row>
    <row r="49" spans="1:8" x14ac:dyDescent="0.25">
      <c r="A49" s="379" t="s">
        <v>190</v>
      </c>
      <c r="B49" s="378"/>
      <c r="C49" s="378"/>
      <c r="D49" s="378"/>
      <c r="E49" s="378"/>
      <c r="F49" s="380">
        <f>IF(B32=0,0,F38/B32)</f>
        <v>0</v>
      </c>
      <c r="G49" s="381"/>
      <c r="H49" s="381"/>
    </row>
    <row r="50" spans="1:8" x14ac:dyDescent="0.25">
      <c r="A50" s="379"/>
      <c r="B50" s="378"/>
      <c r="C50" s="378"/>
      <c r="D50" s="378"/>
      <c r="E50" s="378"/>
      <c r="F50" s="381"/>
      <c r="G50" s="381"/>
      <c r="H50" s="381"/>
    </row>
    <row r="51" spans="1:8" x14ac:dyDescent="0.25">
      <c r="A51" s="379"/>
      <c r="B51" s="378"/>
      <c r="C51" s="378"/>
      <c r="D51" s="378"/>
      <c r="E51" s="387" t="s">
        <v>333</v>
      </c>
      <c r="F51" s="386"/>
      <c r="G51" s="380">
        <f>IF(B32=0,0,G40/B32)</f>
        <v>0</v>
      </c>
      <c r="H51" s="381"/>
    </row>
    <row r="52" spans="1:8" x14ac:dyDescent="0.25">
      <c r="A52" s="379"/>
      <c r="B52" s="378"/>
      <c r="C52" s="378"/>
      <c r="D52" s="378"/>
      <c r="E52" s="385"/>
      <c r="F52" s="386"/>
      <c r="G52" s="381"/>
      <c r="H52" s="381"/>
    </row>
    <row r="53" spans="1:8" x14ac:dyDescent="0.25">
      <c r="A53" s="379"/>
      <c r="B53" s="378"/>
      <c r="C53" s="378"/>
      <c r="D53" s="378"/>
      <c r="E53" s="385"/>
      <c r="F53" s="387" t="s">
        <v>334</v>
      </c>
      <c r="G53" s="381"/>
      <c r="H53" s="380">
        <f>IF(B32=0,0,H42/B32)</f>
        <v>0</v>
      </c>
    </row>
    <row r="54" spans="1:8" x14ac:dyDescent="0.25">
      <c r="A54" s="377"/>
      <c r="B54" s="378"/>
      <c r="C54" s="378"/>
      <c r="D54" s="378"/>
      <c r="E54" s="378"/>
      <c r="F54" s="378"/>
      <c r="G54" s="378"/>
      <c r="H54" s="378"/>
    </row>
    <row r="55" spans="1:8" x14ac:dyDescent="0.25">
      <c r="A55" s="377"/>
      <c r="B55" s="378"/>
      <c r="C55" s="378"/>
      <c r="D55" s="378"/>
      <c r="E55" s="378"/>
      <c r="F55" s="378"/>
      <c r="G55" s="378"/>
      <c r="H55" s="378"/>
    </row>
  </sheetData>
  <mergeCells count="5">
    <mergeCell ref="A3:H3"/>
    <mergeCell ref="B5:B6"/>
    <mergeCell ref="C5:C6"/>
    <mergeCell ref="D5:H5"/>
    <mergeCell ref="A5:A6"/>
  </mergeCells>
  <phoneticPr fontId="7" type="noConversion"/>
  <pageMargins left="1.5" right="0.75" top="0.25" bottom="0.18" header="0" footer="0"/>
  <pageSetup scale="67" firstPageNumber="3" orientation="landscape" blackAndWhite="1" useFirstPageNumber="1" r:id="rId1"/>
  <headerFooter alignWithMargins="0">
    <oddHeader>&amp;RState of Kansas
County</oddHeader>
    <oddFooter xml:space="preserve">&amp;CPage No. 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F30"/>
  <sheetViews>
    <sheetView workbookViewId="0">
      <selection activeCell="D10" sqref="D10"/>
    </sheetView>
  </sheetViews>
  <sheetFormatPr defaultRowHeight="15.75" x14ac:dyDescent="0.2"/>
  <cols>
    <col min="1" max="2" width="17.77734375" style="56" customWidth="1"/>
    <col min="3" max="3" width="11.44140625" style="56" customWidth="1"/>
    <col min="4" max="6" width="11.77734375" style="56" customWidth="1"/>
    <col min="7" max="16384" width="8.88671875" style="56"/>
  </cols>
  <sheetData>
    <row r="1" spans="1:6" x14ac:dyDescent="0.2">
      <c r="A1" s="57" t="str">
        <f>inputPrYr!C3</f>
        <v>Doniphan County</v>
      </c>
      <c r="B1" s="57"/>
      <c r="C1" s="26"/>
      <c r="D1" s="26"/>
      <c r="E1" s="90"/>
      <c r="F1" s="26">
        <f>inputPrYr!C5</f>
        <v>2024</v>
      </c>
    </row>
    <row r="2" spans="1:6" x14ac:dyDescent="0.2">
      <c r="A2" s="57"/>
      <c r="B2" s="57"/>
      <c r="C2" s="26"/>
      <c r="D2" s="26"/>
      <c r="E2" s="90"/>
      <c r="F2" s="26"/>
    </row>
    <row r="3" spans="1:6" ht="15" customHeight="1" x14ac:dyDescent="0.2">
      <c r="A3" s="553" t="s">
        <v>186</v>
      </c>
      <c r="B3" s="553"/>
      <c r="C3" s="553"/>
      <c r="D3" s="553"/>
      <c r="E3" s="553"/>
      <c r="F3" s="553"/>
    </row>
    <row r="4" spans="1:6" ht="14.25" customHeight="1" x14ac:dyDescent="0.2">
      <c r="A4" s="89"/>
      <c r="B4" s="91"/>
      <c r="C4" s="91"/>
      <c r="D4" s="91"/>
      <c r="E4" s="91"/>
      <c r="F4" s="91"/>
    </row>
    <row r="5" spans="1:6" ht="15" customHeight="1" x14ac:dyDescent="0.2">
      <c r="A5" s="612" t="s">
        <v>519</v>
      </c>
      <c r="B5" s="612" t="s">
        <v>520</v>
      </c>
      <c r="C5" s="612" t="str">
        <f>CONCATENATE("Actual Amount for ",F1-2,"")</f>
        <v>Actual Amount for 2022</v>
      </c>
      <c r="D5" s="612" t="str">
        <f>CONCATENATE("Current Amount for ",F1-1,"")</f>
        <v>Current Amount for 2023</v>
      </c>
      <c r="E5" s="612" t="str">
        <f>CONCATENATE("Proposed Amount for ",F1,"")</f>
        <v>Proposed Amount for 2024</v>
      </c>
      <c r="F5" s="612" t="s">
        <v>521</v>
      </c>
    </row>
    <row r="6" spans="1:6" ht="15" customHeight="1" x14ac:dyDescent="0.2">
      <c r="A6" s="613"/>
      <c r="B6" s="613"/>
      <c r="C6" s="613"/>
      <c r="D6" s="613"/>
      <c r="E6" s="613"/>
      <c r="F6" s="613"/>
    </row>
    <row r="7" spans="1:6" s="88" customFormat="1" ht="15" customHeight="1" thickBot="1" x14ac:dyDescent="0.25">
      <c r="A7" s="614"/>
      <c r="B7" s="614"/>
      <c r="C7" s="614"/>
      <c r="D7" s="614"/>
      <c r="E7" s="614"/>
      <c r="F7" s="614"/>
    </row>
    <row r="8" spans="1:6" ht="15" customHeight="1" thickTop="1" x14ac:dyDescent="0.2">
      <c r="A8" s="92" t="s">
        <v>125</v>
      </c>
      <c r="B8" s="92" t="s">
        <v>948</v>
      </c>
      <c r="C8" s="93">
        <v>150000</v>
      </c>
      <c r="D8" s="93">
        <v>150000</v>
      </c>
      <c r="E8" s="93">
        <v>150000</v>
      </c>
      <c r="F8" s="92" t="s">
        <v>976</v>
      </c>
    </row>
    <row r="9" spans="1:6" ht="15" customHeight="1" x14ac:dyDescent="0.2">
      <c r="A9" s="41" t="s">
        <v>936</v>
      </c>
      <c r="B9" s="41" t="s">
        <v>944</v>
      </c>
      <c r="C9" s="94">
        <v>267237</v>
      </c>
      <c r="D9" s="94">
        <v>366000</v>
      </c>
      <c r="E9" s="94">
        <v>450898</v>
      </c>
      <c r="F9" s="41" t="s">
        <v>974</v>
      </c>
    </row>
    <row r="10" spans="1:6" ht="15" customHeight="1" x14ac:dyDescent="0.2">
      <c r="A10" s="41" t="s">
        <v>945</v>
      </c>
      <c r="B10" s="41" t="s">
        <v>973</v>
      </c>
      <c r="C10" s="94">
        <v>0</v>
      </c>
      <c r="D10" s="94"/>
      <c r="E10" s="94">
        <v>150000</v>
      </c>
      <c r="F10" s="41" t="s">
        <v>975</v>
      </c>
    </row>
    <row r="11" spans="1:6" ht="15" customHeight="1" x14ac:dyDescent="0.2">
      <c r="A11" s="41" t="s">
        <v>972</v>
      </c>
      <c r="B11" s="41" t="s">
        <v>938</v>
      </c>
      <c r="C11" s="94">
        <v>14200</v>
      </c>
      <c r="D11" s="94">
        <v>14200</v>
      </c>
      <c r="E11" s="94">
        <v>14200</v>
      </c>
      <c r="F11" s="41" t="s">
        <v>974</v>
      </c>
    </row>
    <row r="12" spans="1:6" ht="15" customHeight="1" x14ac:dyDescent="0.2">
      <c r="A12" s="41"/>
      <c r="B12" s="41"/>
      <c r="C12" s="94"/>
      <c r="D12" s="94"/>
      <c r="E12" s="94"/>
      <c r="F12" s="41"/>
    </row>
    <row r="13" spans="1:6" ht="15" customHeight="1" x14ac:dyDescent="0.2">
      <c r="A13" s="41"/>
      <c r="B13" s="41"/>
      <c r="C13" s="94"/>
      <c r="D13" s="94"/>
      <c r="E13" s="94"/>
      <c r="F13" s="41"/>
    </row>
    <row r="14" spans="1:6" ht="15" customHeight="1" x14ac:dyDescent="0.2">
      <c r="A14" s="41"/>
      <c r="B14" s="41"/>
      <c r="C14" s="94"/>
      <c r="D14" s="94"/>
      <c r="E14" s="94"/>
      <c r="F14" s="41"/>
    </row>
    <row r="15" spans="1:6" ht="15" customHeight="1" x14ac:dyDescent="0.2">
      <c r="A15" s="41"/>
      <c r="B15" s="41"/>
      <c r="C15" s="94"/>
      <c r="D15" s="94"/>
      <c r="E15" s="94"/>
      <c r="F15" s="41"/>
    </row>
    <row r="16" spans="1:6" ht="15" customHeight="1" x14ac:dyDescent="0.2">
      <c r="A16" s="41"/>
      <c r="B16" s="41"/>
      <c r="C16" s="94"/>
      <c r="D16" s="94"/>
      <c r="E16" s="94"/>
      <c r="F16" s="41"/>
    </row>
    <row r="17" spans="1:6" ht="15" customHeight="1" x14ac:dyDescent="0.2">
      <c r="A17" s="41"/>
      <c r="B17" s="95"/>
      <c r="C17" s="94"/>
      <c r="D17" s="94"/>
      <c r="E17" s="94"/>
      <c r="F17" s="41"/>
    </row>
    <row r="18" spans="1:6" ht="15" customHeight="1" x14ac:dyDescent="0.2">
      <c r="A18" s="41"/>
      <c r="B18" s="41"/>
      <c r="C18" s="94"/>
      <c r="D18" s="94"/>
      <c r="E18" s="94"/>
      <c r="F18" s="41"/>
    </row>
    <row r="19" spans="1:6" ht="15" customHeight="1" x14ac:dyDescent="0.2">
      <c r="A19" s="41"/>
      <c r="B19" s="41"/>
      <c r="C19" s="94"/>
      <c r="D19" s="94"/>
      <c r="E19" s="94"/>
      <c r="F19" s="41"/>
    </row>
    <row r="20" spans="1:6" ht="15" customHeight="1" x14ac:dyDescent="0.2">
      <c r="A20" s="41"/>
      <c r="B20" s="41"/>
      <c r="C20" s="94"/>
      <c r="D20" s="94"/>
      <c r="E20" s="94"/>
      <c r="F20" s="41"/>
    </row>
    <row r="21" spans="1:6" ht="15" customHeight="1" x14ac:dyDescent="0.2">
      <c r="A21" s="41"/>
      <c r="B21" s="41"/>
      <c r="C21" s="94"/>
      <c r="D21" s="94"/>
      <c r="E21" s="94"/>
      <c r="F21" s="41"/>
    </row>
    <row r="22" spans="1:6" ht="15" customHeight="1" x14ac:dyDescent="0.2">
      <c r="A22" s="41"/>
      <c r="B22" s="41"/>
      <c r="C22" s="94"/>
      <c r="D22" s="94"/>
      <c r="E22" s="94"/>
      <c r="F22" s="41"/>
    </row>
    <row r="23" spans="1:6" ht="15" customHeight="1" x14ac:dyDescent="0.2">
      <c r="A23" s="41"/>
      <c r="B23" s="41"/>
      <c r="C23" s="94"/>
      <c r="D23" s="94"/>
      <c r="E23" s="94"/>
      <c r="F23" s="41"/>
    </row>
    <row r="24" spans="1:6" ht="15" customHeight="1" x14ac:dyDescent="0.2">
      <c r="A24" s="41"/>
      <c r="B24" s="41"/>
      <c r="C24" s="94"/>
      <c r="D24" s="94"/>
      <c r="E24" s="94"/>
      <c r="F24" s="41"/>
    </row>
    <row r="25" spans="1:6" x14ac:dyDescent="0.2">
      <c r="A25" s="53"/>
      <c r="B25" s="96" t="s">
        <v>54</v>
      </c>
      <c r="C25" s="35">
        <f>SUM(C8:C24)</f>
        <v>431437</v>
      </c>
      <c r="D25" s="35">
        <f>SUM(D8:D24)</f>
        <v>530200</v>
      </c>
      <c r="E25" s="35">
        <f>SUM(E8:E24)</f>
        <v>765098</v>
      </c>
      <c r="F25" s="53"/>
    </row>
    <row r="26" spans="1:6" x14ac:dyDescent="0.2">
      <c r="A26" s="53"/>
      <c r="B26" s="97" t="s">
        <v>271</v>
      </c>
      <c r="C26" s="35"/>
      <c r="D26" s="36"/>
      <c r="E26" s="36"/>
      <c r="F26" s="53"/>
    </row>
    <row r="27" spans="1:6" x14ac:dyDescent="0.2">
      <c r="A27" s="53"/>
      <c r="B27" s="96" t="s">
        <v>203</v>
      </c>
      <c r="C27" s="35">
        <f>C25</f>
        <v>431437</v>
      </c>
      <c r="D27" s="35">
        <f>SUM(D25-D26)</f>
        <v>530200</v>
      </c>
      <c r="E27" s="35">
        <f>SUM(E25-E26)</f>
        <v>765098</v>
      </c>
      <c r="F27" s="53"/>
    </row>
    <row r="28" spans="1:6" x14ac:dyDescent="0.2">
      <c r="A28" s="53"/>
      <c r="B28" s="53"/>
      <c r="C28" s="53"/>
      <c r="D28" s="53"/>
      <c r="E28" s="53"/>
      <c r="F28" s="53"/>
    </row>
    <row r="29" spans="1:6" x14ac:dyDescent="0.2">
      <c r="A29" s="53"/>
      <c r="B29" s="53"/>
      <c r="C29" s="53"/>
      <c r="D29" s="53"/>
      <c r="E29" s="53"/>
      <c r="F29" s="53"/>
    </row>
    <row r="30" spans="1:6" x14ac:dyDescent="0.2">
      <c r="A30" s="223" t="s">
        <v>272</v>
      </c>
      <c r="B30" s="224" t="str">
        <f>CONCATENATE("Adjustments are required only if the transfer is being made in ",D7," and/or ",E7," from a non-budgeted fund.")</f>
        <v>Adjustments are required only if the transfer is being made in  and/or  from a non-budgeted fund.</v>
      </c>
      <c r="C30" s="53"/>
      <c r="D30" s="53"/>
      <c r="E30" s="53"/>
      <c r="F30" s="53"/>
    </row>
  </sheetData>
  <sheetProtection sheet="1" objects="1" scenarios="1"/>
  <mergeCells count="7">
    <mergeCell ref="A3:F3"/>
    <mergeCell ref="A5:A7"/>
    <mergeCell ref="D5:D7"/>
    <mergeCell ref="C5:C7"/>
    <mergeCell ref="E5:E7"/>
    <mergeCell ref="B5:B7"/>
    <mergeCell ref="F5:F7"/>
  </mergeCells>
  <phoneticPr fontId="0" type="noConversion"/>
  <pageMargins left="0.5" right="0.5" top="0.72" bottom="0.23" header="0.5" footer="0"/>
  <pageSetup scale="97" firstPageNumber="4" orientation="portrait" blackAndWhite="1" r:id="rId1"/>
  <headerFooter alignWithMargins="0">
    <oddHeader xml:space="preserve">&amp;RState of Kansas
County
</oddHeader>
    <oddFooter>&amp;CPage No. 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9D1A1-7FC6-44A6-AFD2-09C8C8588CE8}">
  <ds:schemaRefs>
    <ds:schemaRef ds:uri="http://schemas.microsoft.com/sharepoint/v3/contenttype/forms"/>
  </ds:schemaRefs>
</ds:datastoreItem>
</file>

<file path=customXml/itemProps2.xml><?xml version="1.0" encoding="utf-8"?>
<ds:datastoreItem xmlns:ds="http://schemas.openxmlformats.org/officeDocument/2006/customXml" ds:itemID="{A0B81F77-3B94-4387-A5F4-0A826BEEC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3E614D-0C10-4036-8141-9DFE1A6E4C36}">
  <ds:schemaRefs>
    <ds:schemaRef ds:uri="http://purl.org/dc/terms/"/>
    <ds:schemaRef ds:uri="7e2d0d8f-ac74-4d4c-8884-aff3748a733a"/>
    <ds:schemaRef ds:uri="http://schemas.microsoft.com/office/2006/documentManagement/types"/>
    <ds:schemaRef ds:uri="1895758b-fcac-4748-aa0a-5720d2d7d486"/>
    <ds:schemaRef ds:uri="http://schemas.microsoft.com/office/infopath/2007/PartnerControls"/>
    <ds:schemaRef ds:uri="http://purl.org/dc/elements/1.1/"/>
    <ds:schemaRef ds:uri="a9343af4-2466-41a9-9238-9dddcc3e6066"/>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18</vt:i4>
      </vt:variant>
    </vt:vector>
  </HeadingPairs>
  <TitlesOfParts>
    <vt:vector size="75" baseType="lpstr">
      <vt:lpstr>Instructions</vt:lpstr>
      <vt:lpstr>inputPrYr</vt:lpstr>
      <vt:lpstr>inputOth</vt:lpstr>
      <vt:lpstr>inputHearing</vt:lpstr>
      <vt:lpstr>CPA Summary</vt:lpstr>
      <vt:lpstr>Cert</vt:lpstr>
      <vt:lpstr>Cert 2</vt:lpstr>
      <vt:lpstr>Mvalloc</vt:lpstr>
      <vt:lpstr>Transfers</vt:lpstr>
      <vt:lpstr>Transfer Statutes</vt:lpstr>
      <vt:lpstr>Debt</vt:lpstr>
      <vt:lpstr>LP Form</vt:lpstr>
      <vt:lpstr>General</vt:lpstr>
      <vt:lpstr>General Detail</vt:lpstr>
      <vt:lpstr>Debt Service</vt:lpstr>
      <vt:lpstr>Road &amp; Bridge</vt:lpstr>
      <vt:lpstr>Road &amp; Bridge Detail</vt:lpstr>
      <vt:lpstr>FairCon</vt:lpstr>
      <vt:lpstr>ApprNW</vt:lpstr>
      <vt:lpstr>NWCEle</vt:lpstr>
      <vt:lpstr>Ext Eld</vt:lpstr>
      <vt:lpstr>ED HD</vt:lpstr>
      <vt:lpstr>Mental Health</vt:lpstr>
      <vt:lpstr>Emp Ben</vt:lpstr>
      <vt:lpstr>CPI Div</vt:lpstr>
      <vt:lpstr>SW Kit</vt:lpstr>
      <vt:lpstr>Title</vt:lpstr>
      <vt:lpstr> ST Fema</vt:lpstr>
      <vt:lpstr>911 ER</vt:lpstr>
      <vt:lpstr>CARES</vt:lpstr>
      <vt:lpstr>No Levy Page 23</vt:lpstr>
      <vt:lpstr>No Levy Page 24</vt:lpstr>
      <vt:lpstr>No Lvey Pg 25</vt:lpstr>
      <vt:lpstr>No Lvey Pg 26</vt:lpstr>
      <vt:lpstr>No Levy Page 27</vt:lpstr>
      <vt:lpstr>No Levy Page 28</vt:lpstr>
      <vt:lpstr>Non-Budgeted Funds A</vt:lpstr>
      <vt:lpstr>Non-Budgeted Funds B</vt:lpstr>
      <vt:lpstr>Non-Budgeted Funds C</vt:lpstr>
      <vt:lpstr>Non-Budgeted Funds D</vt:lpstr>
      <vt:lpstr>Non-Bud Fund Statutes</vt:lpstr>
      <vt:lpstr>Budget Hearing Notice</vt:lpstr>
      <vt:lpstr>Budget Hearing Notice 2</vt:lpstr>
      <vt:lpstr>Combined Rate-Bud Hearing Notic</vt:lpstr>
      <vt:lpstr>Combined Rate-Bud Hearing Not 2</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 ST Fema'!Print_Area</vt:lpstr>
      <vt:lpstr>ApprNW!Print_Area</vt:lpstr>
      <vt:lpstr>'Budget Hearing Notice'!Print_Area</vt:lpstr>
      <vt:lpstr>'Combined Rate-Bud Hearing Notic'!Print_Area</vt:lpstr>
      <vt:lpstr>'CPA Summary'!Print_Area</vt:lpstr>
      <vt:lpstr>'CPI Div'!Print_Area</vt:lpstr>
      <vt:lpstr>'Debt Service'!Print_Area</vt:lpstr>
      <vt:lpstr>'ED HD'!Print_Area</vt:lpstr>
      <vt:lpstr>'Emp Ben'!Print_Area</vt:lpstr>
      <vt:lpstr>'Ext Eld'!Print_Area</vt:lpstr>
      <vt:lpstr>FairCon!Print_Area</vt:lpstr>
      <vt:lpstr>inputPrYr!Print_Area</vt:lpstr>
      <vt:lpstr>'Mental Health'!Print_Area</vt:lpstr>
      <vt:lpstr>NWCEle!Print_Area</vt:lpstr>
      <vt:lpstr>'RNR Hearing Notice'!Print_Area</vt:lpstr>
      <vt:lpstr>'Road &amp; Bridge'!Print_Area</vt:lpstr>
      <vt:lpstr>'SW Kit'!Print_Area</vt:lpstr>
      <vt:lpstr>Title!Print_Area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Peggy Franken</cp:lastModifiedBy>
  <cp:lastPrinted>2023-07-13T16:23:31Z</cp:lastPrinted>
  <dcterms:created xsi:type="dcterms:W3CDTF">1998-08-26T13:26:11Z</dcterms:created>
  <dcterms:modified xsi:type="dcterms:W3CDTF">2023-07-13T16:23:54Z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